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J:\My Drive\Vinh\Nam 2023\12.18. Chuan bi cac nd TK nam\To chuc Hoi nghi\Tai lieu HN TK nganh NN 23 (QR)\"/>
    </mc:Choice>
  </mc:AlternateContent>
  <xr:revisionPtr revIDLastSave="0" documentId="13_ncr:1_{A3FA6D27-054C-40D2-8820-48B21930443C}" xr6:coauthVersionLast="36" xr6:coauthVersionMax="47" xr10:uidLastSave="{00000000-0000-0000-0000-000000000000}"/>
  <bookViews>
    <workbookView xWindow="-105" yWindow="-105" windowWidth="26295" windowHeight="14895" firstSheet="2" activeTab="3" xr2:uid="{00000000-000D-0000-FFFF-FFFF00000000}"/>
  </bookViews>
  <sheets>
    <sheet name="PL1" sheetId="2" state="hidden" r:id="rId1"/>
    <sheet name="foxz" sheetId="11" state="veryHidden" r:id="rId2"/>
    <sheet name="PL1. TH (chung)" sheetId="10" r:id="rId3"/>
    <sheet name="PL.2 TH (chi tiet)" sheetId="6" r:id="rId4"/>
    <sheet name="Sheet phu-GTSX" sheetId="7" state="hidden" r:id="rId5"/>
    <sheet name="GTSX hh.GTSX cđ" sheetId="8" state="hidden" r:id="rId6"/>
    <sheet name="S gieo trong. Sdat" sheetId="9" state="hidden" r:id="rId7"/>
  </sheets>
  <externalReferences>
    <externalReference r:id="rId8"/>
  </externalReferences>
  <definedNames>
    <definedName name="_xlnm.Print_Area" localSheetId="3">'PL.2 TH (chi tiet)'!$A$1:$R$229</definedName>
    <definedName name="_xlnm.Print_Titles" localSheetId="3">'PL.2 TH (chi tiet)'!$5:$6</definedName>
    <definedName name="_xlnm.Print_Titles" localSheetId="0">'PL1'!$3:$4</definedName>
    <definedName name="_xlnm.Print_Titles" localSheetId="2">'PL1. TH (chung)'!$3:$4</definedName>
  </definedNames>
  <calcPr calcId="191029"/>
</workbook>
</file>

<file path=xl/calcChain.xml><?xml version="1.0" encoding="utf-8"?>
<calcChain xmlns="http://schemas.openxmlformats.org/spreadsheetml/2006/main">
  <c r="O184" i="6" l="1"/>
  <c r="N84" i="6"/>
  <c r="O124" i="6"/>
  <c r="L120" i="6"/>
  <c r="M120" i="6"/>
  <c r="N120" i="6"/>
  <c r="O120" i="6"/>
  <c r="O108" i="6"/>
  <c r="O88" i="6"/>
  <c r="O51" i="6"/>
  <c r="O47" i="6"/>
  <c r="O44" i="6"/>
  <c r="O37" i="6"/>
  <c r="N189" i="6"/>
  <c r="N87" i="6" l="1"/>
  <c r="K116" i="6"/>
  <c r="L116" i="6"/>
  <c r="M116" i="6"/>
  <c r="O116" i="6"/>
  <c r="N116" i="6"/>
  <c r="K104" i="6"/>
  <c r="L104" i="6"/>
  <c r="M104" i="6"/>
  <c r="O104" i="6"/>
  <c r="N104" i="6"/>
  <c r="K100" i="6"/>
  <c r="L100" i="6"/>
  <c r="M100" i="6"/>
  <c r="O100" i="6"/>
  <c r="N100" i="6"/>
  <c r="O96" i="6"/>
  <c r="K96" i="6"/>
  <c r="L96" i="6"/>
  <c r="M96" i="6"/>
  <c r="N96" i="6"/>
  <c r="O92" i="6"/>
  <c r="K92" i="6"/>
  <c r="L92" i="6"/>
  <c r="M92" i="6"/>
  <c r="N92" i="6"/>
  <c r="M83" i="6"/>
  <c r="N83" i="6"/>
  <c r="O83" i="6"/>
  <c r="L83" i="6"/>
  <c r="M79" i="6"/>
  <c r="N79" i="6"/>
  <c r="O79" i="6"/>
  <c r="M75" i="6"/>
  <c r="N75" i="6"/>
  <c r="O75" i="6"/>
  <c r="L75" i="6"/>
  <c r="M71" i="6"/>
  <c r="N71" i="6"/>
  <c r="O71" i="6"/>
  <c r="L71" i="6"/>
  <c r="O60" i="6"/>
  <c r="M60" i="6"/>
  <c r="N60" i="6"/>
  <c r="N31" i="6"/>
  <c r="N30" i="6"/>
  <c r="N27" i="6"/>
  <c r="O191" i="6"/>
  <c r="N191" i="6"/>
  <c r="N188" i="6" s="1"/>
  <c r="L191" i="6"/>
  <c r="O189" i="6"/>
  <c r="L189" i="6"/>
  <c r="L188" i="6" s="1"/>
  <c r="M188" i="6"/>
  <c r="K188" i="6"/>
  <c r="O188" i="6" l="1"/>
  <c r="M128" i="6"/>
  <c r="M126" i="6"/>
  <c r="N124" i="6"/>
  <c r="M124" i="6"/>
  <c r="L112" i="6"/>
  <c r="N108" i="6"/>
  <c r="M108" i="6"/>
  <c r="L88" i="6"/>
  <c r="O84" i="6"/>
  <c r="M84" i="6"/>
  <c r="L84" i="6"/>
  <c r="K84" i="6"/>
  <c r="L79" i="6"/>
  <c r="O67" i="6"/>
  <c r="N67" i="6"/>
  <c r="M67" i="6"/>
  <c r="L67" i="6"/>
  <c r="K67" i="6"/>
  <c r="L64" i="6"/>
  <c r="O64" i="6" s="1"/>
  <c r="L62" i="6"/>
  <c r="M62" i="6" s="1"/>
  <c r="N62" i="6" s="1"/>
  <c r="L60" i="6"/>
  <c r="O57" i="6"/>
  <c r="N57" i="6"/>
  <c r="M57" i="6"/>
  <c r="L57" i="6"/>
  <c r="O54" i="6"/>
  <c r="N54" i="6"/>
  <c r="M54" i="6"/>
  <c r="N51" i="6"/>
  <c r="M51" i="6"/>
  <c r="O48" i="6"/>
  <c r="N48" i="6"/>
  <c r="M48" i="6"/>
  <c r="L48" i="6"/>
  <c r="K48" i="6"/>
  <c r="N47" i="6"/>
  <c r="M47" i="6"/>
  <c r="L47" i="6"/>
  <c r="N44" i="6"/>
  <c r="M44" i="6"/>
  <c r="L44" i="6"/>
  <c r="O41" i="6"/>
  <c r="N41" i="6"/>
  <c r="M41" i="6"/>
  <c r="L41" i="6"/>
  <c r="K41" i="6"/>
  <c r="O40" i="6"/>
  <c r="M40" i="6"/>
  <c r="L40" i="6"/>
  <c r="N37" i="6"/>
  <c r="M37" i="6"/>
  <c r="O34" i="6"/>
  <c r="N34" i="6"/>
  <c r="M34" i="6"/>
  <c r="L34" i="6"/>
  <c r="O31" i="6"/>
  <c r="M31" i="6"/>
  <c r="L31" i="6"/>
  <c r="K31" i="6"/>
  <c r="M30" i="6"/>
  <c r="O27" i="6"/>
  <c r="M27" i="6"/>
  <c r="O24" i="6"/>
  <c r="N24" i="6"/>
  <c r="M24" i="6"/>
  <c r="L24" i="6"/>
  <c r="K24" i="6"/>
  <c r="K23" i="6" l="1"/>
  <c r="O66" i="6"/>
  <c r="N66" i="6"/>
  <c r="N23" i="6"/>
  <c r="O62" i="6"/>
  <c r="K66" i="6"/>
  <c r="K22" i="6" s="1"/>
  <c r="L23" i="6"/>
  <c r="L66" i="6"/>
  <c r="L22" i="6" s="1"/>
  <c r="M23" i="6"/>
  <c r="O23" i="6"/>
  <c r="M66" i="6"/>
  <c r="M22" i="6"/>
  <c r="M64" i="6"/>
  <c r="O22" i="6" l="1"/>
  <c r="N22" i="6"/>
  <c r="O147" i="6"/>
  <c r="N147" i="6"/>
  <c r="M147" i="6"/>
  <c r="L147" i="6"/>
  <c r="K147" i="6"/>
  <c r="O132" i="6"/>
  <c r="O131" i="6" s="1"/>
  <c r="N132" i="6"/>
  <c r="M132" i="6"/>
  <c r="M131" i="6" s="1"/>
  <c r="L132" i="6"/>
  <c r="L131" i="6" s="1"/>
  <c r="K132" i="6"/>
  <c r="K131" i="6" s="1"/>
  <c r="N214" i="6"/>
  <c r="O214" i="6"/>
  <c r="K214" i="6"/>
  <c r="L214" i="6"/>
  <c r="M214" i="6"/>
  <c r="G60" i="10"/>
  <c r="G61" i="10" s="1"/>
  <c r="F60" i="10"/>
  <c r="F61" i="10" s="1"/>
  <c r="E60" i="10"/>
  <c r="E61" i="10" s="1"/>
  <c r="D60" i="10"/>
  <c r="D61" i="10" s="1"/>
  <c r="G59" i="10"/>
  <c r="F59" i="10"/>
  <c r="J59" i="10" s="1"/>
  <c r="E59" i="10"/>
  <c r="D59" i="10"/>
  <c r="G58" i="10"/>
  <c r="F58" i="10"/>
  <c r="I58" i="10" s="1"/>
  <c r="E58" i="10"/>
  <c r="D58" i="10"/>
  <c r="G56" i="10"/>
  <c r="F56" i="10"/>
  <c r="E56" i="10"/>
  <c r="H56" i="10" s="1"/>
  <c r="D56" i="10"/>
  <c r="I56" i="10" s="1"/>
  <c r="D62" i="10"/>
  <c r="E62" i="10"/>
  <c r="F62" i="10"/>
  <c r="G62" i="10"/>
  <c r="G57" i="10"/>
  <c r="F57" i="10"/>
  <c r="E57" i="10"/>
  <c r="D57" i="10"/>
  <c r="G54" i="10"/>
  <c r="F54" i="10"/>
  <c r="F53" i="10" s="1"/>
  <c r="E54" i="10"/>
  <c r="E53" i="10" s="1"/>
  <c r="D54" i="10"/>
  <c r="D53" i="10" s="1"/>
  <c r="G52" i="10"/>
  <c r="F52" i="10"/>
  <c r="E52" i="10"/>
  <c r="D52" i="10"/>
  <c r="F51" i="10"/>
  <c r="G51" i="10"/>
  <c r="J51" i="10" s="1"/>
  <c r="G50" i="10"/>
  <c r="F50" i="10"/>
  <c r="E51" i="10"/>
  <c r="H51" i="10" s="1"/>
  <c r="D51" i="10"/>
  <c r="E50" i="10"/>
  <c r="H50" i="10" s="1"/>
  <c r="D50" i="10"/>
  <c r="I50" i="10" s="1"/>
  <c r="G48" i="10"/>
  <c r="J48" i="10" s="1"/>
  <c r="F48" i="10"/>
  <c r="G47" i="10"/>
  <c r="F47" i="10"/>
  <c r="H47" i="10" s="1"/>
  <c r="G46" i="10"/>
  <c r="F46" i="10"/>
  <c r="J46" i="10" s="1"/>
  <c r="G43" i="10"/>
  <c r="G44" i="10"/>
  <c r="G45" i="10"/>
  <c r="F44" i="10"/>
  <c r="F45" i="10"/>
  <c r="H45" i="10" s="1"/>
  <c r="F43" i="10"/>
  <c r="E48" i="10"/>
  <c r="D48" i="10"/>
  <c r="E47" i="10"/>
  <c r="D47" i="10"/>
  <c r="E46" i="10"/>
  <c r="D46" i="10"/>
  <c r="E43" i="10"/>
  <c r="E44" i="10"/>
  <c r="E45" i="10"/>
  <c r="D44" i="10"/>
  <c r="D45" i="10"/>
  <c r="D43" i="10"/>
  <c r="G41" i="10"/>
  <c r="G39" i="10"/>
  <c r="F41" i="10"/>
  <c r="F39" i="10"/>
  <c r="E41" i="10"/>
  <c r="E39" i="10"/>
  <c r="D41" i="10"/>
  <c r="D39" i="10"/>
  <c r="F37" i="10"/>
  <c r="G37" i="10"/>
  <c r="G36" i="10"/>
  <c r="F36" i="10"/>
  <c r="G35" i="10"/>
  <c r="J35" i="10" s="1"/>
  <c r="F35" i="10"/>
  <c r="E36" i="10"/>
  <c r="E37" i="10"/>
  <c r="D37" i="10"/>
  <c r="D36" i="10"/>
  <c r="E35" i="10"/>
  <c r="D35" i="10"/>
  <c r="H30" i="10"/>
  <c r="I30" i="10"/>
  <c r="J30" i="10"/>
  <c r="F31" i="10"/>
  <c r="E31" i="10"/>
  <c r="D31" i="10"/>
  <c r="G31" i="10"/>
  <c r="F32" i="10"/>
  <c r="E32" i="10"/>
  <c r="D32" i="10"/>
  <c r="G32" i="10"/>
  <c r="F33" i="10"/>
  <c r="E33" i="10"/>
  <c r="D33" i="10"/>
  <c r="G33" i="10"/>
  <c r="J34" i="10"/>
  <c r="I34" i="10"/>
  <c r="H34" i="10"/>
  <c r="G27" i="10"/>
  <c r="G28" i="10"/>
  <c r="G29" i="10"/>
  <c r="F28" i="10"/>
  <c r="F29" i="10"/>
  <c r="F27" i="10"/>
  <c r="D27" i="10"/>
  <c r="I27" i="10" s="1"/>
  <c r="E27" i="10"/>
  <c r="E28" i="10"/>
  <c r="E29" i="10"/>
  <c r="D28" i="10"/>
  <c r="D29" i="10"/>
  <c r="G23" i="10"/>
  <c r="G24" i="10"/>
  <c r="G25" i="10"/>
  <c r="F24" i="10"/>
  <c r="F25" i="10"/>
  <c r="F23" i="10"/>
  <c r="E23" i="10"/>
  <c r="H23" i="10" s="1"/>
  <c r="E24" i="10"/>
  <c r="E25" i="10"/>
  <c r="D25" i="10"/>
  <c r="D24" i="10"/>
  <c r="D23" i="10"/>
  <c r="G19" i="10"/>
  <c r="G20" i="10"/>
  <c r="G21" i="10"/>
  <c r="F20" i="10"/>
  <c r="F21" i="10"/>
  <c r="F19" i="10"/>
  <c r="E19" i="10"/>
  <c r="E20" i="10"/>
  <c r="E21" i="10"/>
  <c r="D20" i="10"/>
  <c r="D21" i="10"/>
  <c r="D19" i="10"/>
  <c r="G15" i="10"/>
  <c r="G16" i="10"/>
  <c r="G17" i="10"/>
  <c r="F16" i="10"/>
  <c r="F17" i="10"/>
  <c r="F15" i="10"/>
  <c r="E15" i="10"/>
  <c r="E16" i="10"/>
  <c r="E17" i="10"/>
  <c r="D16" i="10"/>
  <c r="D17" i="10"/>
  <c r="D15" i="10"/>
  <c r="G11" i="10"/>
  <c r="G12" i="10"/>
  <c r="G13" i="10"/>
  <c r="F12" i="10"/>
  <c r="F13" i="10"/>
  <c r="F11" i="10"/>
  <c r="E12" i="10"/>
  <c r="E13" i="10"/>
  <c r="E11" i="10"/>
  <c r="D12" i="10"/>
  <c r="D13" i="10"/>
  <c r="D11" i="10"/>
  <c r="J60" i="10"/>
  <c r="H60" i="10"/>
  <c r="B60" i="10"/>
  <c r="J56" i="10"/>
  <c r="J55" i="10"/>
  <c r="I55" i="10"/>
  <c r="H55" i="10"/>
  <c r="J49" i="10"/>
  <c r="I49" i="10"/>
  <c r="H49" i="10"/>
  <c r="J42" i="10"/>
  <c r="I42" i="10"/>
  <c r="H42" i="10"/>
  <c r="J38" i="10"/>
  <c r="I38" i="10"/>
  <c r="H38" i="10"/>
  <c r="J26" i="10"/>
  <c r="I26" i="10"/>
  <c r="H26" i="10"/>
  <c r="J22" i="10"/>
  <c r="I22" i="10"/>
  <c r="H22" i="10"/>
  <c r="J18" i="10"/>
  <c r="I18" i="10"/>
  <c r="H18" i="10"/>
  <c r="J14" i="10"/>
  <c r="I14" i="10"/>
  <c r="H14" i="10"/>
  <c r="J10" i="10"/>
  <c r="I10" i="10"/>
  <c r="H10" i="10"/>
  <c r="J9" i="10"/>
  <c r="I9" i="10"/>
  <c r="H9" i="10"/>
  <c r="J7" i="10"/>
  <c r="I7" i="10"/>
  <c r="H7" i="10"/>
  <c r="G6" i="10"/>
  <c r="F6" i="10"/>
  <c r="E6" i="10"/>
  <c r="D6" i="10"/>
  <c r="I51" i="10"/>
  <c r="H35" i="10"/>
  <c r="J47" i="10"/>
  <c r="I43" i="10"/>
  <c r="I48" i="10"/>
  <c r="J50" i="10"/>
  <c r="H46" i="10"/>
  <c r="H48" i="10"/>
  <c r="H52" i="10"/>
  <c r="R213" i="6"/>
  <c r="R202" i="6"/>
  <c r="R203" i="6"/>
  <c r="R208" i="6"/>
  <c r="R207" i="6"/>
  <c r="R206" i="6"/>
  <c r="R204" i="6"/>
  <c r="R205" i="6"/>
  <c r="R201" i="6"/>
  <c r="R211" i="6"/>
  <c r="Q211" i="6"/>
  <c r="P211" i="6"/>
  <c r="P201" i="6"/>
  <c r="Q201" i="6"/>
  <c r="P202" i="6"/>
  <c r="Q202" i="6"/>
  <c r="P203" i="6"/>
  <c r="Q203" i="6"/>
  <c r="P204" i="6"/>
  <c r="Q204" i="6"/>
  <c r="P205" i="6"/>
  <c r="Q205" i="6"/>
  <c r="P206" i="6"/>
  <c r="Q206" i="6"/>
  <c r="P207" i="6"/>
  <c r="Q207" i="6"/>
  <c r="P208" i="6"/>
  <c r="Q208" i="6"/>
  <c r="P209" i="6"/>
  <c r="Q209" i="6"/>
  <c r="R209" i="6"/>
  <c r="P210" i="6"/>
  <c r="Q210" i="6"/>
  <c r="R210" i="6"/>
  <c r="N222" i="6"/>
  <c r="O222" i="6"/>
  <c r="L218" i="6"/>
  <c r="M218" i="6"/>
  <c r="N218" i="6"/>
  <c r="O218" i="6"/>
  <c r="K218" i="6"/>
  <c r="L222" i="6"/>
  <c r="M222" i="6"/>
  <c r="P193" i="6"/>
  <c r="Q193" i="6"/>
  <c r="R193" i="6"/>
  <c r="P194" i="6"/>
  <c r="Q194" i="6"/>
  <c r="R194" i="6"/>
  <c r="P195" i="6"/>
  <c r="Q195" i="6"/>
  <c r="R195" i="6"/>
  <c r="P196" i="6"/>
  <c r="Q196" i="6"/>
  <c r="R196" i="6"/>
  <c r="P197" i="6"/>
  <c r="Q197" i="6"/>
  <c r="R197" i="6"/>
  <c r="P198" i="6"/>
  <c r="Q198" i="6"/>
  <c r="R198" i="6"/>
  <c r="P199" i="6"/>
  <c r="Q199" i="6"/>
  <c r="R199" i="6"/>
  <c r="P200" i="6"/>
  <c r="Q200" i="6"/>
  <c r="R200" i="6"/>
  <c r="P212" i="6"/>
  <c r="Q212" i="6"/>
  <c r="R212" i="6"/>
  <c r="P213" i="6"/>
  <c r="Q213" i="6"/>
  <c r="P215" i="6"/>
  <c r="Q215" i="6"/>
  <c r="R215" i="6"/>
  <c r="P216" i="6"/>
  <c r="Q216" i="6"/>
  <c r="R216" i="6"/>
  <c r="P217" i="6"/>
  <c r="Q217" i="6"/>
  <c r="R217" i="6"/>
  <c r="P219" i="6"/>
  <c r="Q219" i="6"/>
  <c r="R219" i="6"/>
  <c r="P220" i="6"/>
  <c r="Q220" i="6"/>
  <c r="R220" i="6"/>
  <c r="P221" i="6"/>
  <c r="Q221" i="6"/>
  <c r="R221" i="6"/>
  <c r="P223" i="6"/>
  <c r="Q223" i="6"/>
  <c r="R223" i="6"/>
  <c r="P224" i="6"/>
  <c r="Q224" i="6"/>
  <c r="R224" i="6"/>
  <c r="P225" i="6"/>
  <c r="Q225" i="6"/>
  <c r="R225" i="6"/>
  <c r="P226" i="6"/>
  <c r="Q226" i="6"/>
  <c r="R226" i="6"/>
  <c r="P227" i="6"/>
  <c r="Q227" i="6"/>
  <c r="R227" i="6"/>
  <c r="P228" i="6"/>
  <c r="Q228" i="6"/>
  <c r="R228" i="6"/>
  <c r="P229" i="6"/>
  <c r="Q229" i="6"/>
  <c r="R229" i="6"/>
  <c r="P185" i="6"/>
  <c r="Q185" i="6"/>
  <c r="R185" i="6"/>
  <c r="P186" i="6"/>
  <c r="Q186" i="6"/>
  <c r="R186" i="6"/>
  <c r="P187" i="6"/>
  <c r="Q187" i="6"/>
  <c r="R187" i="6"/>
  <c r="P189" i="6"/>
  <c r="Q189" i="6"/>
  <c r="R189" i="6"/>
  <c r="P190" i="6"/>
  <c r="Q190" i="6"/>
  <c r="R190" i="6"/>
  <c r="P191" i="6"/>
  <c r="Q191" i="6"/>
  <c r="R191" i="6"/>
  <c r="P192" i="6"/>
  <c r="Q192" i="6"/>
  <c r="R192" i="6"/>
  <c r="P188" i="6"/>
  <c r="R188" i="6"/>
  <c r="Q147" i="6"/>
  <c r="Q146" i="6"/>
  <c r="P171" i="6"/>
  <c r="Q171" i="6"/>
  <c r="R171" i="6"/>
  <c r="P172" i="6"/>
  <c r="Q172" i="6"/>
  <c r="R172" i="6"/>
  <c r="P173" i="6"/>
  <c r="Q173" i="6"/>
  <c r="R173" i="6"/>
  <c r="P174" i="6"/>
  <c r="Q174" i="6"/>
  <c r="R174" i="6"/>
  <c r="P175" i="6"/>
  <c r="Q175" i="6"/>
  <c r="R175" i="6"/>
  <c r="P176" i="6"/>
  <c r="Q176" i="6"/>
  <c r="R176" i="6"/>
  <c r="P177" i="6"/>
  <c r="Q177" i="6"/>
  <c r="R177" i="6"/>
  <c r="P178" i="6"/>
  <c r="Q178" i="6"/>
  <c r="R178" i="6"/>
  <c r="P179" i="6"/>
  <c r="Q179" i="6"/>
  <c r="R179" i="6"/>
  <c r="P180" i="6"/>
  <c r="Q180" i="6"/>
  <c r="R180" i="6"/>
  <c r="P181" i="6"/>
  <c r="Q181" i="6"/>
  <c r="R181" i="6"/>
  <c r="P182" i="6"/>
  <c r="Q182" i="6"/>
  <c r="R182" i="6"/>
  <c r="P183" i="6"/>
  <c r="Q183" i="6"/>
  <c r="R183" i="6"/>
  <c r="P184" i="6"/>
  <c r="Q184" i="6"/>
  <c r="R184" i="6"/>
  <c r="P158" i="6"/>
  <c r="Q158" i="6"/>
  <c r="R158" i="6"/>
  <c r="P159" i="6"/>
  <c r="Q159" i="6"/>
  <c r="R159" i="6"/>
  <c r="P160" i="6"/>
  <c r="Q160" i="6"/>
  <c r="R160" i="6"/>
  <c r="P161" i="6"/>
  <c r="Q161" i="6"/>
  <c r="R161" i="6"/>
  <c r="P162" i="6"/>
  <c r="Q162" i="6"/>
  <c r="R162" i="6"/>
  <c r="P163" i="6"/>
  <c r="Q163" i="6"/>
  <c r="R163" i="6"/>
  <c r="P164" i="6"/>
  <c r="Q164" i="6"/>
  <c r="R164" i="6"/>
  <c r="P165" i="6"/>
  <c r="Q165" i="6"/>
  <c r="R165" i="6"/>
  <c r="P166" i="6"/>
  <c r="Q166" i="6"/>
  <c r="R166" i="6"/>
  <c r="P167" i="6"/>
  <c r="Q167" i="6"/>
  <c r="R167" i="6"/>
  <c r="P168" i="6"/>
  <c r="Q168" i="6"/>
  <c r="R168" i="6"/>
  <c r="P169" i="6"/>
  <c r="Q169" i="6"/>
  <c r="R169" i="6"/>
  <c r="P146" i="6"/>
  <c r="R146" i="6"/>
  <c r="P148" i="6"/>
  <c r="Q148" i="6"/>
  <c r="R148" i="6"/>
  <c r="P149" i="6"/>
  <c r="Q149" i="6"/>
  <c r="R149" i="6"/>
  <c r="P150" i="6"/>
  <c r="Q150" i="6"/>
  <c r="R150" i="6"/>
  <c r="P151" i="6"/>
  <c r="Q151" i="6"/>
  <c r="R151" i="6"/>
  <c r="P152" i="6"/>
  <c r="Q152" i="6"/>
  <c r="R152" i="6"/>
  <c r="P153" i="6"/>
  <c r="Q153" i="6"/>
  <c r="R153" i="6"/>
  <c r="P154" i="6"/>
  <c r="Q154" i="6"/>
  <c r="R154" i="6"/>
  <c r="P155" i="6"/>
  <c r="Q155" i="6"/>
  <c r="R155" i="6"/>
  <c r="P156" i="6"/>
  <c r="Q156" i="6"/>
  <c r="R156" i="6"/>
  <c r="P157" i="6"/>
  <c r="Q157" i="6"/>
  <c r="R157" i="6"/>
  <c r="Q142" i="6"/>
  <c r="R142" i="6"/>
  <c r="Q143" i="6"/>
  <c r="R143" i="6"/>
  <c r="Q144" i="6"/>
  <c r="R144" i="6"/>
  <c r="Q145" i="6"/>
  <c r="R145" i="6"/>
  <c r="P142" i="6"/>
  <c r="P143" i="6"/>
  <c r="P144" i="6"/>
  <c r="P145" i="6"/>
  <c r="R130" i="6"/>
  <c r="R133" i="6"/>
  <c r="R134" i="6"/>
  <c r="R135" i="6"/>
  <c r="R136" i="6"/>
  <c r="R137" i="6"/>
  <c r="R138" i="6"/>
  <c r="R139" i="6"/>
  <c r="R140" i="6"/>
  <c r="R141" i="6"/>
  <c r="Q130" i="6"/>
  <c r="Q133" i="6"/>
  <c r="Q134" i="6"/>
  <c r="Q135" i="6"/>
  <c r="Q136" i="6"/>
  <c r="Q137" i="6"/>
  <c r="Q138" i="6"/>
  <c r="Q139" i="6"/>
  <c r="Q140" i="6"/>
  <c r="Q141" i="6"/>
  <c r="P130" i="6"/>
  <c r="P133" i="6"/>
  <c r="P134" i="6"/>
  <c r="P135" i="6"/>
  <c r="P136" i="6"/>
  <c r="P137" i="6"/>
  <c r="P138" i="6"/>
  <c r="P139" i="6"/>
  <c r="P140" i="6"/>
  <c r="P141" i="6"/>
  <c r="Q188" i="6"/>
  <c r="P147" i="6"/>
  <c r="O170" i="6"/>
  <c r="N170" i="6"/>
  <c r="Q170" i="6" s="1"/>
  <c r="M170" i="6"/>
  <c r="L170" i="6"/>
  <c r="K170" i="6"/>
  <c r="R129" i="6"/>
  <c r="Q129" i="6"/>
  <c r="P129" i="6"/>
  <c r="R128" i="6"/>
  <c r="Q128" i="6"/>
  <c r="P128" i="6"/>
  <c r="E56" i="7"/>
  <c r="I56" i="7" s="1"/>
  <c r="R127" i="6"/>
  <c r="Q127" i="6"/>
  <c r="P127" i="6"/>
  <c r="R126" i="6"/>
  <c r="Q126" i="6"/>
  <c r="P126" i="6"/>
  <c r="R125" i="6"/>
  <c r="Q125" i="6"/>
  <c r="P125" i="6"/>
  <c r="P124" i="6"/>
  <c r="R123" i="6"/>
  <c r="Q123" i="6"/>
  <c r="P123" i="6"/>
  <c r="R122" i="6"/>
  <c r="Q122" i="6"/>
  <c r="P122" i="6"/>
  <c r="R121" i="6"/>
  <c r="Q121" i="6"/>
  <c r="P121" i="6"/>
  <c r="R120" i="6"/>
  <c r="R119" i="6"/>
  <c r="Q119" i="6"/>
  <c r="P119" i="6"/>
  <c r="R118" i="6"/>
  <c r="Q118" i="6"/>
  <c r="P118" i="6"/>
  <c r="R117" i="6"/>
  <c r="Q117" i="6"/>
  <c r="P117" i="6"/>
  <c r="R116" i="6"/>
  <c r="Q116" i="6"/>
  <c r="P116" i="6"/>
  <c r="R115" i="6"/>
  <c r="Q115" i="6"/>
  <c r="P115" i="6"/>
  <c r="R114" i="6"/>
  <c r="Q114" i="6"/>
  <c r="P114" i="6"/>
  <c r="R113" i="6"/>
  <c r="Q113" i="6"/>
  <c r="P113" i="6"/>
  <c r="R112" i="6"/>
  <c r="Q112" i="6"/>
  <c r="P112" i="6"/>
  <c r="R111" i="6"/>
  <c r="Q111" i="6"/>
  <c r="P111" i="6"/>
  <c r="R110" i="6"/>
  <c r="Q110" i="6"/>
  <c r="P110" i="6"/>
  <c r="R109" i="6"/>
  <c r="Q109" i="6"/>
  <c r="P109" i="6"/>
  <c r="Q108" i="6"/>
  <c r="R107" i="6"/>
  <c r="Q107" i="6"/>
  <c r="P107" i="6"/>
  <c r="R106" i="6"/>
  <c r="Q106" i="6"/>
  <c r="P106" i="6"/>
  <c r="R105" i="6"/>
  <c r="Q105" i="6"/>
  <c r="P105" i="6"/>
  <c r="R104" i="6"/>
  <c r="Q104" i="6"/>
  <c r="P104" i="6"/>
  <c r="R103" i="6"/>
  <c r="Q103" i="6"/>
  <c r="P103" i="6"/>
  <c r="R102" i="6"/>
  <c r="Q102" i="6"/>
  <c r="P102" i="6"/>
  <c r="R101" i="6"/>
  <c r="Q101" i="6"/>
  <c r="P101" i="6"/>
  <c r="R100" i="6"/>
  <c r="Q100" i="6"/>
  <c r="P100" i="6"/>
  <c r="R99" i="6"/>
  <c r="Q99" i="6"/>
  <c r="P99" i="6"/>
  <c r="R98" i="6"/>
  <c r="Q98" i="6"/>
  <c r="P98" i="6"/>
  <c r="R97" i="6"/>
  <c r="Q97" i="6"/>
  <c r="P97" i="6"/>
  <c r="R96" i="6"/>
  <c r="Q96" i="6"/>
  <c r="P96" i="6"/>
  <c r="R95" i="6"/>
  <c r="Q95" i="6"/>
  <c r="P95" i="6"/>
  <c r="R94" i="6"/>
  <c r="Q94" i="6"/>
  <c r="P94" i="6"/>
  <c r="R93" i="6"/>
  <c r="Q93" i="6"/>
  <c r="P93" i="6"/>
  <c r="R92" i="6"/>
  <c r="Q92" i="6"/>
  <c r="P92" i="6"/>
  <c r="R91" i="6"/>
  <c r="Q91" i="6"/>
  <c r="P91" i="6"/>
  <c r="R90" i="6"/>
  <c r="Q90" i="6"/>
  <c r="P90" i="6"/>
  <c r="R89" i="6"/>
  <c r="Q89" i="6"/>
  <c r="P89" i="6"/>
  <c r="R88" i="6"/>
  <c r="Q88" i="6"/>
  <c r="P88" i="6"/>
  <c r="R87" i="6"/>
  <c r="Q87" i="6"/>
  <c r="P87" i="6"/>
  <c r="R86" i="6"/>
  <c r="Q86" i="6"/>
  <c r="P86" i="6"/>
  <c r="R85" i="6"/>
  <c r="Q85" i="6"/>
  <c r="P85" i="6"/>
  <c r="R83" i="6"/>
  <c r="Q83" i="6"/>
  <c r="P83" i="6"/>
  <c r="R82" i="6"/>
  <c r="Q82" i="6"/>
  <c r="P82" i="6"/>
  <c r="R81" i="6"/>
  <c r="Q81" i="6"/>
  <c r="P81" i="6"/>
  <c r="R80" i="6"/>
  <c r="Q80" i="6"/>
  <c r="P80" i="6"/>
  <c r="R79" i="6"/>
  <c r="Q79" i="6"/>
  <c r="P79" i="6"/>
  <c r="R78" i="6"/>
  <c r="Q78" i="6"/>
  <c r="P78" i="6"/>
  <c r="R77" i="6"/>
  <c r="Q77" i="6"/>
  <c r="P77" i="6"/>
  <c r="R76" i="6"/>
  <c r="Q76" i="6"/>
  <c r="P76" i="6"/>
  <c r="P75" i="6"/>
  <c r="R74" i="6"/>
  <c r="Q74" i="6"/>
  <c r="P74" i="6"/>
  <c r="R73" i="6"/>
  <c r="Q73" i="6"/>
  <c r="P73" i="6"/>
  <c r="R72" i="6"/>
  <c r="Q72" i="6"/>
  <c r="P72" i="6"/>
  <c r="R71" i="6"/>
  <c r="Q71" i="6"/>
  <c r="P71" i="6"/>
  <c r="R70" i="6"/>
  <c r="Q70" i="6"/>
  <c r="P70" i="6"/>
  <c r="R69" i="6"/>
  <c r="Q69" i="6"/>
  <c r="P69" i="6"/>
  <c r="R68" i="6"/>
  <c r="Q68" i="6"/>
  <c r="P68" i="6"/>
  <c r="R65" i="6"/>
  <c r="Q65" i="6"/>
  <c r="P65" i="6"/>
  <c r="R63" i="6"/>
  <c r="Q63" i="6"/>
  <c r="P63" i="6"/>
  <c r="Q62" i="6"/>
  <c r="P62" i="6"/>
  <c r="R61" i="6"/>
  <c r="Q61" i="6"/>
  <c r="P61" i="6"/>
  <c r="Q60" i="6"/>
  <c r="P60" i="6"/>
  <c r="R59" i="6"/>
  <c r="Q59" i="6"/>
  <c r="P59" i="6"/>
  <c r="R58" i="6"/>
  <c r="Q58" i="6"/>
  <c r="P58" i="6"/>
  <c r="P57" i="6"/>
  <c r="R56" i="6"/>
  <c r="Q56" i="6"/>
  <c r="P56" i="6"/>
  <c r="R55" i="6"/>
  <c r="Q55" i="6"/>
  <c r="P55" i="6"/>
  <c r="P54" i="6"/>
  <c r="R53" i="6"/>
  <c r="Q53" i="6"/>
  <c r="P53" i="6"/>
  <c r="R52" i="6"/>
  <c r="Q52" i="6"/>
  <c r="P52" i="6"/>
  <c r="R51" i="6"/>
  <c r="Q51" i="6"/>
  <c r="P51" i="6"/>
  <c r="R50" i="6"/>
  <c r="Q50" i="6"/>
  <c r="P50" i="6"/>
  <c r="R49" i="6"/>
  <c r="Q49" i="6"/>
  <c r="P49" i="6"/>
  <c r="R47" i="6"/>
  <c r="Q47" i="6"/>
  <c r="P47" i="6"/>
  <c r="R46" i="6"/>
  <c r="Q46" i="6"/>
  <c r="P46" i="6"/>
  <c r="R45" i="6"/>
  <c r="Q45" i="6"/>
  <c r="P45" i="6"/>
  <c r="R44" i="6"/>
  <c r="Q44" i="6"/>
  <c r="P44" i="6"/>
  <c r="R43" i="6"/>
  <c r="Q43" i="6"/>
  <c r="P43" i="6"/>
  <c r="R42" i="6"/>
  <c r="Q42" i="6"/>
  <c r="P42" i="6"/>
  <c r="R41" i="6"/>
  <c r="P41" i="6"/>
  <c r="Q40" i="6"/>
  <c r="P40" i="6"/>
  <c r="R39" i="6"/>
  <c r="Q39" i="6"/>
  <c r="P39" i="6"/>
  <c r="R38" i="6"/>
  <c r="Q38" i="6"/>
  <c r="P38" i="6"/>
  <c r="R37" i="6"/>
  <c r="Q37" i="6"/>
  <c r="P37" i="6"/>
  <c r="R36" i="6"/>
  <c r="Q36" i="6"/>
  <c r="P36" i="6"/>
  <c r="R35" i="6"/>
  <c r="Q35" i="6"/>
  <c r="P35" i="6"/>
  <c r="Q34" i="6"/>
  <c r="R33" i="6"/>
  <c r="Q33" i="6"/>
  <c r="P33" i="6"/>
  <c r="R32" i="6"/>
  <c r="Q32" i="6"/>
  <c r="P32" i="6"/>
  <c r="R30" i="6"/>
  <c r="Q30" i="6"/>
  <c r="P30" i="6"/>
  <c r="R29" i="6"/>
  <c r="Q29" i="6"/>
  <c r="P29" i="6"/>
  <c r="R28" i="6"/>
  <c r="Q28" i="6"/>
  <c r="P28" i="6"/>
  <c r="R27" i="6"/>
  <c r="Q27" i="6"/>
  <c r="P27" i="6"/>
  <c r="R26" i="6"/>
  <c r="Q26" i="6"/>
  <c r="P26" i="6"/>
  <c r="R25" i="6"/>
  <c r="Q25" i="6"/>
  <c r="P25" i="6"/>
  <c r="P24" i="6"/>
  <c r="Q84" i="6"/>
  <c r="R124" i="6"/>
  <c r="R108" i="6"/>
  <c r="R57" i="6"/>
  <c r="Q41" i="6"/>
  <c r="Q66" i="6"/>
  <c r="R60" i="6"/>
  <c r="R40" i="6"/>
  <c r="Q67" i="6"/>
  <c r="R75" i="6"/>
  <c r="Q57" i="6"/>
  <c r="Q75" i="6"/>
  <c r="Q54" i="6"/>
  <c r="P84" i="6"/>
  <c r="P67" i="6"/>
  <c r="Q124" i="6"/>
  <c r="R34" i="6"/>
  <c r="R54" i="6"/>
  <c r="R84" i="6"/>
  <c r="P120" i="6"/>
  <c r="P34" i="6"/>
  <c r="P108" i="6"/>
  <c r="Q120" i="6"/>
  <c r="R67" i="6"/>
  <c r="J24" i="6"/>
  <c r="J31" i="6"/>
  <c r="J41" i="6"/>
  <c r="J48" i="6"/>
  <c r="J67" i="6"/>
  <c r="J84" i="6"/>
  <c r="E55" i="2"/>
  <c r="F55" i="2"/>
  <c r="G55" i="2"/>
  <c r="D55" i="2"/>
  <c r="E54" i="2"/>
  <c r="F54" i="2"/>
  <c r="H54" i="2" s="1"/>
  <c r="G54" i="2"/>
  <c r="J54" i="2" s="1"/>
  <c r="D54" i="2"/>
  <c r="D52" i="2"/>
  <c r="E52" i="2"/>
  <c r="F52" i="2"/>
  <c r="G52" i="2"/>
  <c r="G53" i="2" s="1"/>
  <c r="E51" i="2"/>
  <c r="F51" i="2"/>
  <c r="G51" i="2"/>
  <c r="D51" i="2"/>
  <c r="E50" i="2"/>
  <c r="F50" i="2"/>
  <c r="I50" i="2" s="1"/>
  <c r="G50" i="2"/>
  <c r="J50" i="2" s="1"/>
  <c r="D50" i="2"/>
  <c r="E49" i="2"/>
  <c r="D49" i="2"/>
  <c r="I49" i="2" s="1"/>
  <c r="E47" i="2"/>
  <c r="D47" i="2"/>
  <c r="G45" i="2"/>
  <c r="F45" i="2"/>
  <c r="J45" i="2" s="1"/>
  <c r="E45" i="2"/>
  <c r="H45" i="2" s="1"/>
  <c r="D45" i="2"/>
  <c r="I45" i="2" s="1"/>
  <c r="E44" i="2"/>
  <c r="F44" i="2"/>
  <c r="I44" i="2" s="1"/>
  <c r="G44" i="2"/>
  <c r="D44" i="2"/>
  <c r="D43" i="2"/>
  <c r="E43" i="2"/>
  <c r="H43" i="2" s="1"/>
  <c r="F43" i="2"/>
  <c r="J43" i="2" s="1"/>
  <c r="G43" i="2"/>
  <c r="E42" i="2"/>
  <c r="F42" i="2"/>
  <c r="H42" i="2" s="1"/>
  <c r="G42" i="2"/>
  <c r="D42" i="2"/>
  <c r="I42" i="2" s="1"/>
  <c r="E40" i="2"/>
  <c r="F40" i="2"/>
  <c r="G40" i="2"/>
  <c r="D40" i="2"/>
  <c r="E39" i="2"/>
  <c r="F39" i="2"/>
  <c r="G39" i="2"/>
  <c r="D39" i="2"/>
  <c r="E38" i="2"/>
  <c r="F38" i="2"/>
  <c r="G38" i="2"/>
  <c r="D38" i="2"/>
  <c r="E35" i="2"/>
  <c r="F35" i="2"/>
  <c r="J35" i="2" s="1"/>
  <c r="G35" i="2"/>
  <c r="E36" i="2"/>
  <c r="F36" i="2"/>
  <c r="G36" i="2"/>
  <c r="E37" i="2"/>
  <c r="F37" i="2"/>
  <c r="G37" i="2"/>
  <c r="D36" i="2"/>
  <c r="D37" i="2"/>
  <c r="I37" i="2" s="1"/>
  <c r="D35" i="2"/>
  <c r="D32" i="2"/>
  <c r="E32" i="2"/>
  <c r="F32" i="2"/>
  <c r="G32" i="2"/>
  <c r="D33" i="2"/>
  <c r="E33" i="2"/>
  <c r="F33" i="2"/>
  <c r="G33" i="2"/>
  <c r="E31" i="2"/>
  <c r="F31" i="2"/>
  <c r="G31" i="2"/>
  <c r="J31" i="2" s="1"/>
  <c r="D31" i="2"/>
  <c r="I31" i="2" s="1"/>
  <c r="D28" i="2"/>
  <c r="I28" i="2" s="1"/>
  <c r="E28" i="2"/>
  <c r="F28" i="2"/>
  <c r="G28" i="2"/>
  <c r="J54" i="6"/>
  <c r="C17" i="7" s="1"/>
  <c r="G17" i="7" s="1"/>
  <c r="E29" i="2"/>
  <c r="F29" i="2"/>
  <c r="G29" i="2"/>
  <c r="E27" i="2"/>
  <c r="F27" i="2"/>
  <c r="G27" i="2"/>
  <c r="D27" i="2"/>
  <c r="D24" i="2"/>
  <c r="I24" i="2" s="1"/>
  <c r="E24" i="2"/>
  <c r="F24" i="2"/>
  <c r="G24" i="2"/>
  <c r="J51" i="6"/>
  <c r="D25" i="2" s="1"/>
  <c r="E25" i="2"/>
  <c r="F25" i="2"/>
  <c r="G25" i="2"/>
  <c r="E23" i="2"/>
  <c r="F23" i="2"/>
  <c r="G23" i="2"/>
  <c r="D23" i="2"/>
  <c r="D20" i="2"/>
  <c r="E20" i="2"/>
  <c r="F20" i="2"/>
  <c r="G20" i="2"/>
  <c r="J37" i="6"/>
  <c r="D21" i="2" s="1"/>
  <c r="I21" i="2" s="1"/>
  <c r="E21" i="2"/>
  <c r="F21" i="2"/>
  <c r="G21" i="2"/>
  <c r="J21" i="2" s="1"/>
  <c r="E19" i="2"/>
  <c r="F19" i="2"/>
  <c r="G19" i="2"/>
  <c r="D19" i="2"/>
  <c r="D16" i="2"/>
  <c r="E16" i="2"/>
  <c r="F16" i="2"/>
  <c r="G16" i="2"/>
  <c r="D17" i="2"/>
  <c r="E17" i="2"/>
  <c r="F17" i="2"/>
  <c r="G17" i="2"/>
  <c r="E15" i="2"/>
  <c r="F15" i="2"/>
  <c r="G15" i="2"/>
  <c r="D15" i="2"/>
  <c r="D12" i="2"/>
  <c r="E12" i="2"/>
  <c r="F12" i="2"/>
  <c r="G12" i="2"/>
  <c r="J27" i="6"/>
  <c r="C6" i="7" s="1"/>
  <c r="G6" i="7" s="1"/>
  <c r="E13" i="2"/>
  <c r="F13" i="2"/>
  <c r="G13" i="2"/>
  <c r="J13" i="2" s="1"/>
  <c r="E11" i="2"/>
  <c r="F11" i="2"/>
  <c r="G11" i="2"/>
  <c r="D11" i="2"/>
  <c r="D77" i="7"/>
  <c r="H77" i="7" s="1"/>
  <c r="O9" i="6"/>
  <c r="O10" i="6"/>
  <c r="D6" i="7"/>
  <c r="H6" i="7" s="1"/>
  <c r="D7" i="7"/>
  <c r="H7" i="7" s="1"/>
  <c r="D9" i="7"/>
  <c r="H9" i="7" s="1"/>
  <c r="D10" i="7"/>
  <c r="H10" i="7" s="1"/>
  <c r="D11" i="7"/>
  <c r="H11" i="7" s="1"/>
  <c r="D13" i="7"/>
  <c r="H13" i="7" s="1"/>
  <c r="D14" i="7"/>
  <c r="H14" i="7" s="1"/>
  <c r="D16" i="7"/>
  <c r="H16" i="7"/>
  <c r="D17" i="7"/>
  <c r="H17" i="7" s="1"/>
  <c r="D18" i="7"/>
  <c r="H18" i="7" s="1"/>
  <c r="D19" i="7"/>
  <c r="H19" i="7" s="1"/>
  <c r="D20" i="7"/>
  <c r="H20" i="7" s="1"/>
  <c r="D32" i="7"/>
  <c r="H32" i="7" s="1"/>
  <c r="D37" i="7"/>
  <c r="H37" i="7" s="1"/>
  <c r="D40" i="7"/>
  <c r="H40" i="7" s="1"/>
  <c r="D41" i="7"/>
  <c r="H41" i="7" s="1"/>
  <c r="D42" i="7"/>
  <c r="H42" i="7" s="1"/>
  <c r="D43" i="7"/>
  <c r="H43" i="7" s="1"/>
  <c r="D45" i="7"/>
  <c r="H45" i="7" s="1"/>
  <c r="D46" i="7"/>
  <c r="H46" i="7" s="1"/>
  <c r="D47" i="7"/>
  <c r="H47" i="7" s="1"/>
  <c r="D48" i="7"/>
  <c r="H48" i="7" s="1"/>
  <c r="D49" i="7"/>
  <c r="H49" i="7" s="1"/>
  <c r="D50" i="7"/>
  <c r="H50" i="7" s="1"/>
  <c r="D51" i="7"/>
  <c r="H51" i="7" s="1"/>
  <c r="D52" i="7"/>
  <c r="H52" i="7" s="1"/>
  <c r="D53" i="7"/>
  <c r="H53" i="7" s="1"/>
  <c r="D54" i="7"/>
  <c r="H54" i="7" s="1"/>
  <c r="D55" i="7"/>
  <c r="H55" i="7" s="1"/>
  <c r="D56" i="7"/>
  <c r="H56" i="7" s="1"/>
  <c r="D57" i="7"/>
  <c r="H57" i="7" s="1"/>
  <c r="D60" i="7"/>
  <c r="H60" i="7" s="1"/>
  <c r="D61" i="7"/>
  <c r="H61" i="7" s="1"/>
  <c r="D62" i="7"/>
  <c r="H62" i="7" s="1"/>
  <c r="D63" i="7"/>
  <c r="H63" i="7" s="1"/>
  <c r="D64" i="7"/>
  <c r="H64" i="7" s="1"/>
  <c r="D65" i="7"/>
  <c r="H65" i="7" s="1"/>
  <c r="D66" i="7"/>
  <c r="H66" i="7"/>
  <c r="D67" i="7"/>
  <c r="H67" i="7" s="1"/>
  <c r="R11" i="6"/>
  <c r="O12" i="6"/>
  <c r="M12" i="6"/>
  <c r="P12" i="6" s="1"/>
  <c r="R13" i="6"/>
  <c r="R14" i="6"/>
  <c r="R15" i="6"/>
  <c r="E77" i="7"/>
  <c r="I77" i="7" s="1"/>
  <c r="D73" i="7"/>
  <c r="H73" i="7" s="1"/>
  <c r="K17" i="6" s="1"/>
  <c r="M17" i="6" s="1"/>
  <c r="D69" i="7"/>
  <c r="H69" i="7"/>
  <c r="O17" i="6"/>
  <c r="O18" i="6"/>
  <c r="O19" i="6"/>
  <c r="C7" i="7"/>
  <c r="G7" i="7" s="1"/>
  <c r="J34" i="6"/>
  <c r="C9" i="7" s="1"/>
  <c r="G9" i="7" s="1"/>
  <c r="J40" i="6"/>
  <c r="C11" i="7" s="1"/>
  <c r="G11" i="7" s="1"/>
  <c r="J44" i="6"/>
  <c r="C13" i="7" s="1"/>
  <c r="G13" i="7" s="1"/>
  <c r="J47" i="6"/>
  <c r="C14" i="7" s="1"/>
  <c r="G14" i="7" s="1"/>
  <c r="J57" i="6"/>
  <c r="C18" i="7" s="1"/>
  <c r="G18" i="7" s="1"/>
  <c r="J60" i="6"/>
  <c r="C19" i="7" s="1"/>
  <c r="G19" i="7" s="1"/>
  <c r="J62" i="6"/>
  <c r="C20" i="7" s="1"/>
  <c r="G20" i="7" s="1"/>
  <c r="C32" i="7"/>
  <c r="G32" i="7" s="1"/>
  <c r="C37" i="7"/>
  <c r="G37" i="7" s="1"/>
  <c r="J71" i="6"/>
  <c r="C40" i="7" s="1"/>
  <c r="G40" i="7" s="1"/>
  <c r="J75" i="6"/>
  <c r="C41" i="7" s="1"/>
  <c r="G41" i="7" s="1"/>
  <c r="J79" i="6"/>
  <c r="C42" i="7"/>
  <c r="G42" i="7" s="1"/>
  <c r="J83" i="6"/>
  <c r="C43" i="7" s="1"/>
  <c r="G43" i="7" s="1"/>
  <c r="C45" i="7"/>
  <c r="G45" i="7" s="1"/>
  <c r="J92" i="6"/>
  <c r="C46" i="7" s="1"/>
  <c r="G46" i="7" s="1"/>
  <c r="J96" i="6"/>
  <c r="C47" i="7" s="1"/>
  <c r="G47" i="7" s="1"/>
  <c r="J100" i="6"/>
  <c r="C48" i="7" s="1"/>
  <c r="G48" i="7" s="1"/>
  <c r="J104" i="6"/>
  <c r="C49" i="7" s="1"/>
  <c r="G49" i="7" s="1"/>
  <c r="J108" i="6"/>
  <c r="C50" i="7" s="1"/>
  <c r="G50" i="7" s="1"/>
  <c r="J112" i="6"/>
  <c r="C51" i="7" s="1"/>
  <c r="G51" i="7" s="1"/>
  <c r="J116" i="6"/>
  <c r="C52" i="7" s="1"/>
  <c r="G52" i="7" s="1"/>
  <c r="J120" i="6"/>
  <c r="C53" i="7" s="1"/>
  <c r="G53" i="7" s="1"/>
  <c r="C54" i="7"/>
  <c r="G54" i="7" s="1"/>
  <c r="C55" i="7"/>
  <c r="G55" i="7" s="1"/>
  <c r="C56" i="7"/>
  <c r="G56" i="7" s="1"/>
  <c r="C57" i="7"/>
  <c r="G57" i="7" s="1"/>
  <c r="C60" i="7"/>
  <c r="G60" i="7" s="1"/>
  <c r="C61" i="7"/>
  <c r="G61" i="7" s="1"/>
  <c r="C62" i="7"/>
  <c r="G62" i="7" s="1"/>
  <c r="C63" i="7"/>
  <c r="G63" i="7" s="1"/>
  <c r="C64" i="7"/>
  <c r="G64" i="7"/>
  <c r="C65" i="7"/>
  <c r="G65" i="7" s="1"/>
  <c r="C66" i="7"/>
  <c r="G66" i="7" s="1"/>
  <c r="C67" i="7"/>
  <c r="G67" i="7" s="1"/>
  <c r="Q11" i="6"/>
  <c r="J12" i="6"/>
  <c r="Q13" i="6"/>
  <c r="Q14" i="6"/>
  <c r="Q15" i="6"/>
  <c r="C73" i="7"/>
  <c r="G73" i="7"/>
  <c r="J17" i="6" s="1"/>
  <c r="C69" i="7"/>
  <c r="G69" i="7" s="1"/>
  <c r="C77" i="7"/>
  <c r="G77" i="7" s="1"/>
  <c r="J19" i="6" s="1"/>
  <c r="J137" i="6"/>
  <c r="J132" i="6" s="1"/>
  <c r="J131" i="6" s="1"/>
  <c r="J147" i="6"/>
  <c r="J162" i="6"/>
  <c r="J166" i="6"/>
  <c r="J170" i="6"/>
  <c r="J184" i="6"/>
  <c r="J189" i="6"/>
  <c r="J188" i="6" s="1"/>
  <c r="J191" i="6"/>
  <c r="P11" i="6"/>
  <c r="K12" i="6"/>
  <c r="P13" i="6"/>
  <c r="P14" i="6"/>
  <c r="P15" i="6"/>
  <c r="I94" i="7"/>
  <c r="H94" i="7"/>
  <c r="G94" i="7"/>
  <c r="I92" i="7"/>
  <c r="H92" i="7"/>
  <c r="G92" i="7"/>
  <c r="I91" i="7"/>
  <c r="H91" i="7"/>
  <c r="G91" i="7"/>
  <c r="I90" i="7"/>
  <c r="H90" i="7"/>
  <c r="G90" i="7"/>
  <c r="I89" i="7"/>
  <c r="H89" i="7"/>
  <c r="G89" i="7"/>
  <c r="I88" i="7"/>
  <c r="H88" i="7"/>
  <c r="G88" i="7"/>
  <c r="I87" i="7"/>
  <c r="H87" i="7"/>
  <c r="G87" i="7"/>
  <c r="I86" i="7"/>
  <c r="H86" i="7"/>
  <c r="G86" i="7"/>
  <c r="G85" i="7" s="1"/>
  <c r="I84" i="7"/>
  <c r="H84" i="7"/>
  <c r="G84" i="7"/>
  <c r="I83" i="7"/>
  <c r="H83" i="7"/>
  <c r="G83" i="7"/>
  <c r="I82" i="7"/>
  <c r="H82" i="7"/>
  <c r="G82" i="7"/>
  <c r="I81" i="7"/>
  <c r="H81" i="7"/>
  <c r="G81" i="7"/>
  <c r="I80" i="7"/>
  <c r="I79" i="7" s="1"/>
  <c r="H80" i="7"/>
  <c r="G80" i="7"/>
  <c r="I76" i="7"/>
  <c r="H76" i="7"/>
  <c r="G76" i="7"/>
  <c r="I75" i="7"/>
  <c r="H75" i="7"/>
  <c r="G75" i="7"/>
  <c r="I74" i="7"/>
  <c r="H74" i="7"/>
  <c r="G74" i="7"/>
  <c r="E73" i="7"/>
  <c r="I73" i="7" s="1"/>
  <c r="I72" i="7"/>
  <c r="H72" i="7"/>
  <c r="G72" i="7"/>
  <c r="I71" i="7"/>
  <c r="H71" i="7"/>
  <c r="G71" i="7"/>
  <c r="I70" i="7"/>
  <c r="H70" i="7"/>
  <c r="G70" i="7"/>
  <c r="E69" i="7"/>
  <c r="I69" i="7" s="1"/>
  <c r="E67" i="7"/>
  <c r="I67" i="7" s="1"/>
  <c r="E66" i="7"/>
  <c r="I66" i="7"/>
  <c r="E65" i="7"/>
  <c r="I65" i="7" s="1"/>
  <c r="E64" i="7"/>
  <c r="I64" i="7" s="1"/>
  <c r="E63" i="7"/>
  <c r="I63" i="7" s="1"/>
  <c r="E62" i="7"/>
  <c r="I62" i="7" s="1"/>
  <c r="E61" i="7"/>
  <c r="I61" i="7" s="1"/>
  <c r="E60" i="7"/>
  <c r="I60" i="7" s="1"/>
  <c r="E57" i="7"/>
  <c r="I57" i="7" s="1"/>
  <c r="E55" i="7"/>
  <c r="I55" i="7" s="1"/>
  <c r="E54" i="7"/>
  <c r="I54" i="7" s="1"/>
  <c r="E53" i="7"/>
  <c r="I53" i="7" s="1"/>
  <c r="E52" i="7"/>
  <c r="I52" i="7" s="1"/>
  <c r="E51" i="7"/>
  <c r="I51" i="7"/>
  <c r="E50" i="7"/>
  <c r="I50" i="7" s="1"/>
  <c r="E49" i="7"/>
  <c r="I49" i="7" s="1"/>
  <c r="E48" i="7"/>
  <c r="I48" i="7" s="1"/>
  <c r="E47" i="7"/>
  <c r="I47" i="7" s="1"/>
  <c r="E46" i="7"/>
  <c r="I46" i="7" s="1"/>
  <c r="E45" i="7"/>
  <c r="I45" i="7"/>
  <c r="E43" i="7"/>
  <c r="I43" i="7" s="1"/>
  <c r="E42" i="7"/>
  <c r="I42" i="7" s="1"/>
  <c r="E41" i="7"/>
  <c r="I41" i="7" s="1"/>
  <c r="E40" i="7"/>
  <c r="I40" i="7" s="1"/>
  <c r="E37" i="7"/>
  <c r="I37" i="7" s="1"/>
  <c r="I36" i="7"/>
  <c r="H36" i="7"/>
  <c r="G36" i="7"/>
  <c r="I35" i="7"/>
  <c r="H35" i="7"/>
  <c r="G35" i="7"/>
  <c r="I34" i="7"/>
  <c r="H34" i="7"/>
  <c r="G34" i="7"/>
  <c r="I33" i="7"/>
  <c r="H33" i="7"/>
  <c r="G33" i="7"/>
  <c r="E32" i="7"/>
  <c r="I32" i="7" s="1"/>
  <c r="I31" i="7"/>
  <c r="H31" i="7"/>
  <c r="G31" i="7"/>
  <c r="I30" i="7"/>
  <c r="H30" i="7"/>
  <c r="G30" i="7"/>
  <c r="I29" i="7"/>
  <c r="H29" i="7"/>
  <c r="G29" i="7"/>
  <c r="I28" i="7"/>
  <c r="H28" i="7"/>
  <c r="G28" i="7"/>
  <c r="I27" i="7"/>
  <c r="H27" i="7"/>
  <c r="G27" i="7"/>
  <c r="I26" i="7"/>
  <c r="H26" i="7"/>
  <c r="G26" i="7"/>
  <c r="I25" i="7"/>
  <c r="H25" i="7"/>
  <c r="G25" i="7"/>
  <c r="I24" i="7"/>
  <c r="H24" i="7"/>
  <c r="G24" i="7"/>
  <c r="I23" i="7"/>
  <c r="H23" i="7"/>
  <c r="G23" i="7"/>
  <c r="I22" i="7"/>
  <c r="H22" i="7"/>
  <c r="G22" i="7"/>
  <c r="I21" i="7"/>
  <c r="H21" i="7"/>
  <c r="G21" i="7"/>
  <c r="E19" i="7"/>
  <c r="I19" i="7" s="1"/>
  <c r="E18" i="7"/>
  <c r="I18" i="7" s="1"/>
  <c r="E17" i="7"/>
  <c r="I17" i="7" s="1"/>
  <c r="E16" i="7"/>
  <c r="I16" i="7" s="1"/>
  <c r="E14" i="7"/>
  <c r="I14" i="7" s="1"/>
  <c r="E13" i="7"/>
  <c r="I13" i="7" s="1"/>
  <c r="E11" i="7"/>
  <c r="I11" i="7" s="1"/>
  <c r="E10" i="7"/>
  <c r="I10" i="7" s="1"/>
  <c r="E6" i="7"/>
  <c r="I6" i="7" s="1"/>
  <c r="E7" i="7"/>
  <c r="I7" i="7" s="1"/>
  <c r="E9" i="7"/>
  <c r="I9" i="7" s="1"/>
  <c r="I24" i="6"/>
  <c r="I31" i="6"/>
  <c r="I41" i="6"/>
  <c r="I48" i="6"/>
  <c r="I67" i="6"/>
  <c r="I125" i="6"/>
  <c r="I84" i="6" s="1"/>
  <c r="I66" i="6" s="1"/>
  <c r="H24" i="6"/>
  <c r="H31" i="6"/>
  <c r="H41" i="6"/>
  <c r="H48" i="6"/>
  <c r="H67" i="6"/>
  <c r="H66" i="6" s="1"/>
  <c r="H84" i="6"/>
  <c r="S9" i="7"/>
  <c r="R9" i="7"/>
  <c r="Q9" i="7"/>
  <c r="P9" i="7"/>
  <c r="G24" i="6"/>
  <c r="G31" i="6"/>
  <c r="G41" i="6"/>
  <c r="G48" i="6"/>
  <c r="G67" i="6"/>
  <c r="G84" i="6"/>
  <c r="G66" i="6" s="1"/>
  <c r="F48" i="6"/>
  <c r="F23" i="6" s="1"/>
  <c r="F67" i="6"/>
  <c r="F84" i="6"/>
  <c r="E23" i="6"/>
  <c r="E84" i="6"/>
  <c r="E66" i="6" s="1"/>
  <c r="D23" i="6"/>
  <c r="D84" i="6"/>
  <c r="D66" i="6"/>
  <c r="U3" i="7"/>
  <c r="T3" i="7"/>
  <c r="S3" i="7"/>
  <c r="R3" i="7"/>
  <c r="H8" i="6"/>
  <c r="H229" i="6" s="1"/>
  <c r="G11" i="6"/>
  <c r="G8" i="6"/>
  <c r="G229" i="6" s="1"/>
  <c r="F8" i="6"/>
  <c r="E8" i="6"/>
  <c r="E229" i="6"/>
  <c r="D8" i="6"/>
  <c r="D229" i="6" s="1"/>
  <c r="H191" i="6"/>
  <c r="G191" i="6"/>
  <c r="H189" i="6"/>
  <c r="G189" i="6"/>
  <c r="I188" i="6"/>
  <c r="G184" i="6"/>
  <c r="I170" i="6"/>
  <c r="H170" i="6"/>
  <c r="G170" i="6"/>
  <c r="G166" i="6"/>
  <c r="H162" i="6"/>
  <c r="G162" i="6"/>
  <c r="I147" i="6"/>
  <c r="H147" i="6"/>
  <c r="G147" i="6"/>
  <c r="F147" i="6"/>
  <c r="H137" i="6"/>
  <c r="G137" i="6"/>
  <c r="G132" i="6" s="1"/>
  <c r="G131" i="6" s="1"/>
  <c r="F137" i="6"/>
  <c r="H131" i="6"/>
  <c r="F131" i="6"/>
  <c r="F128" i="6"/>
  <c r="H124" i="6"/>
  <c r="G124" i="6"/>
  <c r="F124" i="6"/>
  <c r="H120" i="6"/>
  <c r="G120" i="6"/>
  <c r="F120" i="6"/>
  <c r="H116" i="6"/>
  <c r="G116" i="6"/>
  <c r="F116" i="6"/>
  <c r="G112" i="6"/>
  <c r="H111" i="6"/>
  <c r="F111" i="6"/>
  <c r="G108" i="6"/>
  <c r="H107" i="6"/>
  <c r="F107" i="6"/>
  <c r="G104" i="6"/>
  <c r="H103" i="6"/>
  <c r="F103" i="6"/>
  <c r="G100" i="6"/>
  <c r="H99" i="6"/>
  <c r="F99" i="6"/>
  <c r="G96" i="6"/>
  <c r="H95" i="6"/>
  <c r="F95" i="6"/>
  <c r="H92" i="6"/>
  <c r="G92" i="6"/>
  <c r="F92" i="6"/>
  <c r="H88" i="6"/>
  <c r="G87" i="6"/>
  <c r="F87" i="6"/>
  <c r="G83" i="6"/>
  <c r="H82" i="6"/>
  <c r="F82" i="6"/>
  <c r="G79" i="6"/>
  <c r="H78" i="6"/>
  <c r="F78" i="6"/>
  <c r="H75" i="6"/>
  <c r="G75" i="6"/>
  <c r="F74" i="6"/>
  <c r="H70" i="6"/>
  <c r="G70" i="6"/>
  <c r="F70" i="6"/>
  <c r="H59" i="6"/>
  <c r="G59" i="6"/>
  <c r="F59" i="6"/>
  <c r="H56" i="6"/>
  <c r="G56" i="6"/>
  <c r="H54" i="6"/>
  <c r="G53" i="6"/>
  <c r="H50" i="6"/>
  <c r="G50" i="6"/>
  <c r="H47" i="6"/>
  <c r="G46" i="6"/>
  <c r="H44" i="6"/>
  <c r="G43" i="6"/>
  <c r="H40" i="6"/>
  <c r="G39" i="6"/>
  <c r="G36" i="6"/>
  <c r="H33" i="6"/>
  <c r="G33" i="6"/>
  <c r="G29" i="6"/>
  <c r="G26" i="6"/>
  <c r="E19" i="6"/>
  <c r="I16" i="6"/>
  <c r="H16" i="6"/>
  <c r="G16" i="6"/>
  <c r="F16" i="6"/>
  <c r="D16" i="6"/>
  <c r="I14" i="6"/>
  <c r="I12" i="6" s="1"/>
  <c r="F13" i="6"/>
  <c r="F12" i="6" s="1"/>
  <c r="H12" i="6"/>
  <c r="G12" i="6"/>
  <c r="D12" i="6"/>
  <c r="I8" i="6"/>
  <c r="B54" i="2"/>
  <c r="F53" i="2"/>
  <c r="H53" i="2" s="1"/>
  <c r="J51" i="2"/>
  <c r="H51" i="2"/>
  <c r="G49" i="2"/>
  <c r="J49" i="2" s="1"/>
  <c r="H49" i="2"/>
  <c r="J48" i="2"/>
  <c r="I48" i="2"/>
  <c r="H48" i="2"/>
  <c r="G47" i="2"/>
  <c r="J47" i="2" s="1"/>
  <c r="I47" i="2"/>
  <c r="H47" i="2"/>
  <c r="J46" i="2"/>
  <c r="I46" i="2"/>
  <c r="H46" i="2"/>
  <c r="J41" i="2"/>
  <c r="I41" i="2"/>
  <c r="H41" i="2"/>
  <c r="J34" i="2"/>
  <c r="I34" i="2"/>
  <c r="H34" i="2"/>
  <c r="J33" i="2"/>
  <c r="I33" i="2"/>
  <c r="H33" i="2"/>
  <c r="J30" i="2"/>
  <c r="I30" i="2"/>
  <c r="H30" i="2"/>
  <c r="J26" i="2"/>
  <c r="I26" i="2"/>
  <c r="H26" i="2"/>
  <c r="J24" i="2"/>
  <c r="J22" i="2"/>
  <c r="I22" i="2"/>
  <c r="H22" i="2"/>
  <c r="J18" i="2"/>
  <c r="I18" i="2"/>
  <c r="H18" i="2"/>
  <c r="J16" i="2"/>
  <c r="I16" i="2"/>
  <c r="J14" i="2"/>
  <c r="I14" i="2"/>
  <c r="H14" i="2"/>
  <c r="J10" i="2"/>
  <c r="I10" i="2"/>
  <c r="H10" i="2"/>
  <c r="J9" i="2"/>
  <c r="I9" i="2"/>
  <c r="H9" i="2"/>
  <c r="J7" i="2"/>
  <c r="I7" i="2"/>
  <c r="H7" i="2"/>
  <c r="D13" i="2"/>
  <c r="I13" i="2" s="1"/>
  <c r="H21" i="2"/>
  <c r="J39" i="2"/>
  <c r="H52" i="2"/>
  <c r="C10" i="7"/>
  <c r="G10" i="7" s="1"/>
  <c r="E53" i="2"/>
  <c r="H37" i="2"/>
  <c r="I43" i="2"/>
  <c r="H20" i="2"/>
  <c r="I39" i="2"/>
  <c r="H39" i="2"/>
  <c r="K18" i="6"/>
  <c r="M18" i="6" s="1"/>
  <c r="J36" i="2"/>
  <c r="F229" i="6"/>
  <c r="D29" i="2"/>
  <c r="C16" i="7"/>
  <c r="G16" i="7" s="1"/>
  <c r="E7" i="6"/>
  <c r="H36" i="2"/>
  <c r="C6" i="9"/>
  <c r="C7" i="8"/>
  <c r="D6" i="8"/>
  <c r="E6" i="8"/>
  <c r="C7" i="9"/>
  <c r="C8" i="9"/>
  <c r="C9" i="9"/>
  <c r="G22" i="6" l="1"/>
  <c r="S5" i="7" s="1"/>
  <c r="G188" i="6"/>
  <c r="H19" i="2"/>
  <c r="I27" i="2"/>
  <c r="H44" i="2"/>
  <c r="I35" i="2"/>
  <c r="Q12" i="6"/>
  <c r="C59" i="7"/>
  <c r="J52" i="10"/>
  <c r="J40" i="2"/>
  <c r="I54" i="2"/>
  <c r="J23" i="6"/>
  <c r="H43" i="10"/>
  <c r="J43" i="10"/>
  <c r="I39" i="10"/>
  <c r="I47" i="10"/>
  <c r="R147" i="6"/>
  <c r="O16" i="6"/>
  <c r="H31" i="2"/>
  <c r="I51" i="2"/>
  <c r="I7" i="6"/>
  <c r="D6" i="2" s="1"/>
  <c r="D22" i="6"/>
  <c r="P5" i="7" s="1"/>
  <c r="G23" i="6"/>
  <c r="I52" i="10"/>
  <c r="I52" i="2"/>
  <c r="H59" i="10"/>
  <c r="I59" i="10"/>
  <c r="I60" i="10"/>
  <c r="J57" i="10"/>
  <c r="J41" i="10"/>
  <c r="G40" i="10"/>
  <c r="H39" i="10"/>
  <c r="I41" i="10"/>
  <c r="J36" i="10"/>
  <c r="I36" i="10"/>
  <c r="H36" i="10"/>
  <c r="I68" i="7"/>
  <c r="G7" i="6"/>
  <c r="F66" i="6"/>
  <c r="I23" i="6"/>
  <c r="I22" i="6" s="1"/>
  <c r="U5" i="7" s="1"/>
  <c r="U6" i="7" s="1"/>
  <c r="U9" i="7" s="1"/>
  <c r="I15" i="2"/>
  <c r="I19" i="2"/>
  <c r="D53" i="2"/>
  <c r="I53" i="2" s="1"/>
  <c r="H188" i="6"/>
  <c r="J38" i="2"/>
  <c r="H50" i="2"/>
  <c r="H23" i="6"/>
  <c r="H85" i="7"/>
  <c r="J37" i="2"/>
  <c r="J44" i="10"/>
  <c r="I61" i="10"/>
  <c r="R170" i="6"/>
  <c r="J28" i="10"/>
  <c r="I46" i="10"/>
  <c r="R132" i="6"/>
  <c r="N131" i="6"/>
  <c r="F22" i="6"/>
  <c r="R5" i="7" s="1"/>
  <c r="F7" i="6"/>
  <c r="J61" i="10"/>
  <c r="O8" i="6"/>
  <c r="O7" i="6" s="1"/>
  <c r="J20" i="2"/>
  <c r="H23" i="2"/>
  <c r="J53" i="2"/>
  <c r="P170" i="6"/>
  <c r="P222" i="6"/>
  <c r="H79" i="7"/>
  <c r="H78" i="7" s="1"/>
  <c r="H7" i="6"/>
  <c r="G79" i="7"/>
  <c r="G78" i="7" s="1"/>
  <c r="I85" i="7"/>
  <c r="I78" i="7" s="1"/>
  <c r="I40" i="2"/>
  <c r="J44" i="2"/>
  <c r="J66" i="6"/>
  <c r="J22" i="6" s="1"/>
  <c r="D8" i="2" s="1"/>
  <c r="G59" i="7"/>
  <c r="G58" i="7" s="1"/>
  <c r="J10" i="6" s="1"/>
  <c r="G44" i="7"/>
  <c r="G4" i="7" s="1"/>
  <c r="J9" i="6" s="1"/>
  <c r="I53" i="10"/>
  <c r="H53" i="10"/>
  <c r="P17" i="6"/>
  <c r="R17" i="6"/>
  <c r="J18" i="6"/>
  <c r="J16" i="6" s="1"/>
  <c r="G68" i="7"/>
  <c r="H22" i="6"/>
  <c r="T5" i="7" s="1"/>
  <c r="T6" i="7" s="1"/>
  <c r="T9" i="7" s="1"/>
  <c r="H61" i="10"/>
  <c r="H59" i="7"/>
  <c r="H58" i="7" s="1"/>
  <c r="K10" i="6" s="1"/>
  <c r="M10" i="6" s="1"/>
  <c r="P10" i="6" s="1"/>
  <c r="I57" i="10"/>
  <c r="H57" i="10"/>
  <c r="I38" i="2"/>
  <c r="D7" i="6"/>
  <c r="I17" i="2"/>
  <c r="I45" i="10"/>
  <c r="J37" i="10"/>
  <c r="I44" i="10"/>
  <c r="E59" i="7"/>
  <c r="I25" i="2"/>
  <c r="R222" i="6"/>
  <c r="J58" i="10"/>
  <c r="J45" i="10"/>
  <c r="J42" i="2"/>
  <c r="H58" i="10"/>
  <c r="I16" i="10"/>
  <c r="J54" i="10"/>
  <c r="J17" i="10"/>
  <c r="G53" i="10"/>
  <c r="J53" i="10" s="1"/>
  <c r="I36" i="2"/>
  <c r="H54" i="10"/>
  <c r="I54" i="10"/>
  <c r="F40" i="10"/>
  <c r="J52" i="2"/>
  <c r="D59" i="7"/>
  <c r="H38" i="2"/>
  <c r="R218" i="6"/>
  <c r="R12" i="6"/>
  <c r="H13" i="2"/>
  <c r="J27" i="2"/>
  <c r="H35" i="2"/>
  <c r="Q218" i="6"/>
  <c r="R214" i="6"/>
  <c r="Q222" i="6"/>
  <c r="P218" i="6"/>
  <c r="J6" i="10"/>
  <c r="H6" i="10"/>
  <c r="P214" i="6"/>
  <c r="R18" i="6"/>
  <c r="P18" i="6"/>
  <c r="Q18" i="6"/>
  <c r="H68" i="7"/>
  <c r="K19" i="6"/>
  <c r="M19" i="6" s="1"/>
  <c r="M16" i="6" s="1"/>
  <c r="Q17" i="6"/>
  <c r="I6" i="10"/>
  <c r="J15" i="2"/>
  <c r="H28" i="2"/>
  <c r="J32" i="2"/>
  <c r="I37" i="10"/>
  <c r="E40" i="10"/>
  <c r="H37" i="10"/>
  <c r="I35" i="10"/>
  <c r="J39" i="10"/>
  <c r="J29" i="2"/>
  <c r="J12" i="2"/>
  <c r="H32" i="2"/>
  <c r="J28" i="2"/>
  <c r="I29" i="2"/>
  <c r="I32" i="2"/>
  <c r="H44" i="7"/>
  <c r="H4" i="7" s="1"/>
  <c r="K9" i="6" s="1"/>
  <c r="D40" i="10"/>
  <c r="H24" i="2"/>
  <c r="I32" i="10"/>
  <c r="H29" i="2"/>
  <c r="J23" i="2"/>
  <c r="H15" i="2"/>
  <c r="J11" i="10"/>
  <c r="I15" i="10"/>
  <c r="I19" i="10"/>
  <c r="I23" i="10"/>
  <c r="I28" i="10"/>
  <c r="H41" i="10"/>
  <c r="I13" i="10"/>
  <c r="I17" i="10"/>
  <c r="J27" i="10"/>
  <c r="J12" i="10"/>
  <c r="J20" i="10"/>
  <c r="J24" i="10"/>
  <c r="J29" i="10"/>
  <c r="J32" i="10"/>
  <c r="I44" i="7"/>
  <c r="H16" i="2"/>
  <c r="H31" i="10"/>
  <c r="J11" i="2"/>
  <c r="J21" i="10"/>
  <c r="I25" i="10"/>
  <c r="H16" i="10"/>
  <c r="I12" i="10"/>
  <c r="H13" i="10"/>
  <c r="H25" i="10"/>
  <c r="J25" i="10"/>
  <c r="H27" i="10"/>
  <c r="I23" i="2"/>
  <c r="I24" i="10"/>
  <c r="Q48" i="6"/>
  <c r="J23" i="10"/>
  <c r="H28" i="10"/>
  <c r="H29" i="10"/>
  <c r="I29" i="10"/>
  <c r="P48" i="6"/>
  <c r="Q64" i="6"/>
  <c r="P64" i="6"/>
  <c r="R64" i="6"/>
  <c r="E22" i="6"/>
  <c r="Q5" i="7" s="1"/>
  <c r="H27" i="2"/>
  <c r="J25" i="2"/>
  <c r="H24" i="10"/>
  <c r="H25" i="2"/>
  <c r="H33" i="10"/>
  <c r="H32" i="10"/>
  <c r="J33" i="10"/>
  <c r="I33" i="10"/>
  <c r="J31" i="10"/>
  <c r="I31" i="10"/>
  <c r="J19" i="10"/>
  <c r="H20" i="10"/>
  <c r="P31" i="6"/>
  <c r="I21" i="10"/>
  <c r="J19" i="2"/>
  <c r="I20" i="2"/>
  <c r="Q31" i="6"/>
  <c r="I20" i="10"/>
  <c r="R31" i="6"/>
  <c r="H21" i="10"/>
  <c r="F8" i="2"/>
  <c r="H19" i="10"/>
  <c r="Q24" i="6"/>
  <c r="R24" i="6"/>
  <c r="J13" i="10"/>
  <c r="H12" i="10"/>
  <c r="J16" i="10"/>
  <c r="I11" i="10"/>
  <c r="J15" i="10"/>
  <c r="H11" i="10"/>
  <c r="H11" i="2"/>
  <c r="I11" i="2"/>
  <c r="H15" i="10"/>
  <c r="H17" i="2"/>
  <c r="H12" i="2"/>
  <c r="J17" i="2"/>
  <c r="I12" i="2"/>
  <c r="H17" i="10"/>
  <c r="I59" i="7"/>
  <c r="I58" i="7" s="1"/>
  <c r="H40" i="2"/>
  <c r="H44" i="10"/>
  <c r="P132" i="6"/>
  <c r="Q132" i="6"/>
  <c r="G8" i="10"/>
  <c r="R66" i="6"/>
  <c r="P66" i="6"/>
  <c r="G8" i="2"/>
  <c r="R48" i="6"/>
  <c r="E20" i="7"/>
  <c r="I20" i="7" s="1"/>
  <c r="R62" i="6"/>
  <c r="Q214" i="6"/>
  <c r="E8" i="9"/>
  <c r="D7" i="8"/>
  <c r="E6" i="9"/>
  <c r="D7" i="9"/>
  <c r="D6" i="9"/>
  <c r="E7" i="8"/>
  <c r="D8" i="9"/>
  <c r="E9" i="9"/>
  <c r="D9" i="9"/>
  <c r="E7" i="9"/>
  <c r="I8" i="2" l="1"/>
  <c r="J40" i="10"/>
  <c r="P131" i="6"/>
  <c r="Q131" i="6"/>
  <c r="R131" i="6"/>
  <c r="I40" i="10"/>
  <c r="J8" i="6"/>
  <c r="J7" i="6" s="1"/>
  <c r="E6" i="2" s="1"/>
  <c r="Q10" i="6"/>
  <c r="R10" i="6"/>
  <c r="I4" i="7"/>
  <c r="H40" i="10"/>
  <c r="Q16" i="6"/>
  <c r="R16" i="6"/>
  <c r="K16" i="6"/>
  <c r="P16" i="6" s="1"/>
  <c r="Q19" i="6"/>
  <c r="P19" i="6"/>
  <c r="R19" i="6"/>
  <c r="K8" i="6"/>
  <c r="V3" i="7"/>
  <c r="V4" i="7" s="1"/>
  <c r="M9" i="6"/>
  <c r="M8" i="6" s="1"/>
  <c r="Q23" i="6"/>
  <c r="W5" i="7"/>
  <c r="W6" i="7" s="1"/>
  <c r="P23" i="6"/>
  <c r="R23" i="6"/>
  <c r="J8" i="2"/>
  <c r="P22" i="6"/>
  <c r="R22" i="6"/>
  <c r="F8" i="10"/>
  <c r="J8" i="10" s="1"/>
  <c r="D8" i="10"/>
  <c r="Q22" i="6"/>
  <c r="E8" i="2"/>
  <c r="H8" i="2" s="1"/>
  <c r="V5" i="7"/>
  <c r="V6" i="7" s="1"/>
  <c r="V9" i="7" l="1"/>
  <c r="W3" i="7"/>
  <c r="W4" i="7" s="1"/>
  <c r="W9" i="7" s="1"/>
  <c r="Q9" i="6"/>
  <c r="R9" i="6"/>
  <c r="P9" i="6"/>
  <c r="K7" i="6"/>
  <c r="F6" i="2" s="1"/>
  <c r="I6" i="2" s="1"/>
  <c r="E8" i="10"/>
  <c r="H8" i="10" s="1"/>
  <c r="M7" i="6"/>
  <c r="Q8" i="6"/>
  <c r="P8" i="6"/>
  <c r="R8" i="6"/>
  <c r="I8" i="10"/>
  <c r="H6" i="2" l="1"/>
  <c r="G6" i="2"/>
  <c r="J6" i="2" s="1"/>
  <c r="Q7" i="6"/>
  <c r="R7" i="6"/>
  <c r="P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11</author>
  </authors>
  <commentList>
    <comment ref="D44" authorId="0" shapeId="0" xr:uid="{00000000-0006-0000-0000-000001000000}">
      <text>
        <r>
          <rPr>
            <b/>
            <sz val="9"/>
            <color indexed="81"/>
            <rFont val="Tahoma"/>
            <family val="2"/>
          </rPr>
          <t>Windows 11: Số hộ sử dụng nước (hộ)</t>
        </r>
        <r>
          <rPr>
            <sz val="9"/>
            <color indexed="81"/>
            <rFont val="Tahoma"/>
            <family val="2"/>
          </rPr>
          <t xml:space="preserve">
- 2019: 167.200
- 2020: 136.734
- 2021: 141.145
- 2022: 145.556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Windows 11</author>
  </authors>
  <commentList>
    <comment ref="G8" authorId="0" shapeId="0" xr:uid="{00000000-0006-0000-0200-000001000000}">
      <text>
        <r>
          <rPr>
            <b/>
            <sz val="9"/>
            <color indexed="81"/>
            <rFont val="Tahoma"/>
            <family val="2"/>
          </rPr>
          <t>Admin:</t>
        </r>
        <r>
          <rPr>
            <sz val="9"/>
            <color indexed="81"/>
            <rFont val="Tahoma"/>
            <family val="2"/>
          </rPr>
          <t xml:space="preserve">
Cập nhật từ Tk 9.5.19</t>
        </r>
      </text>
    </comment>
    <comment ref="I210" authorId="1" shapeId="0" xr:uid="{00000000-0006-0000-0200-000002000000}">
      <text>
        <r>
          <rPr>
            <b/>
            <sz val="9"/>
            <color indexed="81"/>
            <rFont val="Tahoma"/>
            <family val="2"/>
          </rPr>
          <t>Windows 11:</t>
        </r>
        <r>
          <rPr>
            <sz val="9"/>
            <color indexed="81"/>
            <rFont val="Tahoma"/>
            <family val="2"/>
          </rPr>
          <t xml:space="preserve">
Tổng số hộ SD nước (hộ):
- 2019: 167.200
- 2020: 136.734
- 2021: 141.145
- 2022: 145.556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11</author>
  </authors>
  <commentList>
    <comment ref="F69" authorId="0" shapeId="0" xr:uid="{00000000-0006-0000-0300-000001000000}">
      <text>
        <r>
          <rPr>
            <b/>
            <sz val="9"/>
            <color indexed="81"/>
            <rFont val="Tahoma"/>
            <family val="2"/>
          </rPr>
          <t>Windows 11:</t>
        </r>
        <r>
          <rPr>
            <sz val="9"/>
            <color indexed="81"/>
            <rFont val="Tahoma"/>
            <family val="2"/>
          </rPr>
          <t xml:space="preserve">
Khi không có số phân tách lấy đơn giá này thay thế</t>
        </r>
      </text>
    </comment>
    <comment ref="F73" authorId="0" shapeId="0" xr:uid="{00000000-0006-0000-0300-000002000000}">
      <text>
        <r>
          <rPr>
            <b/>
            <sz val="9"/>
            <color indexed="81"/>
            <rFont val="Tahoma"/>
            <family val="2"/>
          </rPr>
          <t>Windows 11:</t>
        </r>
        <r>
          <rPr>
            <sz val="9"/>
            <color indexed="81"/>
            <rFont val="Tahoma"/>
            <family val="2"/>
          </rPr>
          <t xml:space="preserve">
Không phân cụ thể thì lấy giá trị này</t>
        </r>
      </text>
    </comment>
  </commentList>
</comments>
</file>

<file path=xl/sharedStrings.xml><?xml version="1.0" encoding="utf-8"?>
<sst xmlns="http://schemas.openxmlformats.org/spreadsheetml/2006/main" count="865" uniqueCount="394">
  <si>
    <t>TT</t>
  </si>
  <si>
    <t>CHỈ TIÊU</t>
  </si>
  <si>
    <t>Đơn vị</t>
  </si>
  <si>
    <t>I</t>
  </si>
  <si>
    <t>Tỷ đồng</t>
  </si>
  <si>
    <t>Nông - lâm - thủy sản</t>
  </si>
  <si>
    <t>%</t>
  </si>
  <si>
    <t>III</t>
  </si>
  <si>
    <t>NÔNG NGHIỆP</t>
  </si>
  <si>
    <t xml:space="preserve"> - Cây lúa                          </t>
  </si>
  <si>
    <t xml:space="preserve"> - Cây ngô                </t>
  </si>
  <si>
    <t xml:space="preserve"> - Mì                                 </t>
  </si>
  <si>
    <t xml:space="preserve"> - Đậu phộng                   </t>
  </si>
  <si>
    <t>GIÁ TRỊ SẢN XUẤT (giá 2010)</t>
  </si>
  <si>
    <t>II</t>
  </si>
  <si>
    <t>Tổng diện tích gieo trồng</t>
  </si>
  <si>
    <t>CHỈ TIÊU MÔI TRƯỜNG</t>
  </si>
  <si>
    <t>xã</t>
  </si>
  <si>
    <t>tiêu chí</t>
  </si>
  <si>
    <t xml:space="preserve"> - Cây cao su</t>
  </si>
  <si>
    <t>ha</t>
  </si>
  <si>
    <t xml:space="preserve">          Diện tích</t>
  </si>
  <si>
    <t xml:space="preserve">          Năng suất</t>
  </si>
  <si>
    <t xml:space="preserve">          Sản lượng</t>
  </si>
  <si>
    <t>tạ/ha</t>
  </si>
  <si>
    <t>tấn</t>
  </si>
  <si>
    <t xml:space="preserve"> - Mía            </t>
  </si>
  <si>
    <t>Trong đó:</t>
  </si>
  <si>
    <t>STT</t>
  </si>
  <si>
    <t xml:space="preserve">Tỷ lệ hộ dân cư nông thôn được sử dụng nước hợp vệ sinh </t>
  </si>
  <si>
    <r>
      <t xml:space="preserve"> T</t>
    </r>
    <r>
      <rPr>
        <sz val="12"/>
        <rFont val="Times New Roman"/>
        <family val="1"/>
      </rPr>
      <t>ỷ lệ che phủ rừng (đã loại trừ cây cao su)</t>
    </r>
  </si>
  <si>
    <t>SO SÁNH (%)</t>
  </si>
  <si>
    <t xml:space="preserve">- Tỷ lệ số xã đạt chuẩn nông thôn mới </t>
  </si>
  <si>
    <t>Số xã đạt chuẩn nông thôn mới (trên tổng số 71 xã)</t>
  </si>
  <si>
    <t>MỘT SỐ CHỈ TIÊU KHÁC</t>
  </si>
  <si>
    <t>Chỉ tiêu</t>
  </si>
  <si>
    <t xml:space="preserve">Đơn vị </t>
  </si>
  <si>
    <t>TH 2015</t>
  </si>
  <si>
    <t>TH 2016</t>
  </si>
  <si>
    <t>TH 2017</t>
  </si>
  <si>
    <t>TH  2018</t>
  </si>
  <si>
    <t>TH 2020</t>
  </si>
  <si>
    <t>UTH2021</t>
  </si>
  <si>
    <t>GIÁ TRỊ SẢN XUẤT (theo giá cố định 2010)</t>
  </si>
  <si>
    <t>Tr.đồng</t>
  </si>
  <si>
    <t xml:space="preserve"> Nông nghiệp</t>
  </si>
  <si>
    <t>Trồng trọt</t>
  </si>
  <si>
    <t>Chăn nuôi</t>
  </si>
  <si>
    <t xml:space="preserve">Dịch vụ, các hoạt động khác </t>
  </si>
  <si>
    <t>Lâm nghiệp</t>
  </si>
  <si>
    <t>Lâm sinh (trồng và nuôi rừng,…)</t>
  </si>
  <si>
    <t>Khai thác gỗ và lâm sản khác</t>
  </si>
  <si>
    <t>Thủy sản</t>
  </si>
  <si>
    <t>Nuôi trồng thủy sản</t>
  </si>
  <si>
    <t>Khai thác thủy sản</t>
  </si>
  <si>
    <t>SẢN XUẤT NÔNG LÂM THỦY SẢN</t>
  </si>
  <si>
    <t>Nông nghiệp</t>
  </si>
  <si>
    <t>1.1</t>
  </si>
  <si>
    <t>a</t>
  </si>
  <si>
    <t>Tổng diện tích cây hàng năm</t>
  </si>
  <si>
    <t>a1</t>
  </si>
  <si>
    <t>DT cây lương thực</t>
  </si>
  <si>
    <t>Lúa cả năm  - Diện tích (DT)</t>
  </si>
  <si>
    <t xml:space="preserve">                   - Năng suất (NS)</t>
  </si>
  <si>
    <t xml:space="preserve">                   - Sản lượng (SL)</t>
  </si>
  <si>
    <t>Bắp                        DT</t>
  </si>
  <si>
    <t xml:space="preserve">                              NS</t>
  </si>
  <si>
    <t xml:space="preserve">                              SL</t>
  </si>
  <si>
    <t>a2</t>
  </si>
  <si>
    <t>DT cây có củ</t>
  </si>
  <si>
    <t>Khoai lang             DT</t>
  </si>
  <si>
    <t xml:space="preserve">                             NS</t>
  </si>
  <si>
    <t xml:space="preserve">                             SL</t>
  </si>
  <si>
    <t>Mì                         DT</t>
  </si>
  <si>
    <t>Chất bột khác (kể cả khoai sọ)   DT</t>
  </si>
  <si>
    <t>a3</t>
  </si>
  <si>
    <t>DT cây thực phẩm</t>
  </si>
  <si>
    <t>Rau các loại          DT</t>
  </si>
  <si>
    <t>Đậu các loại          DT</t>
  </si>
  <si>
    <t>a4</t>
  </si>
  <si>
    <t xml:space="preserve">Cây CN ngắn ngày </t>
  </si>
  <si>
    <t>Đậu phọng             DT</t>
  </si>
  <si>
    <t>Thuốc lá                DT</t>
  </si>
  <si>
    <t>Mè                        DT</t>
  </si>
  <si>
    <t>Cây CN ngắn ngày khác (hoa, cây cảnh,  gia vị, dược liệu)</t>
  </si>
  <si>
    <t xml:space="preserve">                           SL</t>
  </si>
  <si>
    <t>a5</t>
  </si>
  <si>
    <t>Cây hàng năm khác (thức ăn gia súc, phân xanh, khác)</t>
  </si>
  <si>
    <t>a6</t>
  </si>
  <si>
    <t xml:space="preserve">Sản phẩm phụ cây hàng năm </t>
  </si>
  <si>
    <t>b</t>
  </si>
  <si>
    <t>Tổng diện tích cây lâu năm</t>
  </si>
  <si>
    <t>b1</t>
  </si>
  <si>
    <t>DT cây công nghiệp</t>
  </si>
  <si>
    <t xml:space="preserve">                           SP</t>
  </si>
  <si>
    <t xml:space="preserve">                           NS</t>
  </si>
  <si>
    <t>b2</t>
  </si>
  <si>
    <t>DT cây ăn quả</t>
  </si>
  <si>
    <t>Cây Cam, Quít, Chanh, có múi khác
                           DT</t>
  </si>
  <si>
    <t>Cây Bưởi            DT</t>
  </si>
  <si>
    <t>Cây Chuối           DT</t>
  </si>
  <si>
    <t>Cây Xoài             DT</t>
  </si>
  <si>
    <t>Cây Nhãn           DT</t>
  </si>
  <si>
    <t xml:space="preserve">                          SP</t>
  </si>
  <si>
    <t xml:space="preserve">                          NS</t>
  </si>
  <si>
    <t xml:space="preserve">                          SL</t>
  </si>
  <si>
    <t>Chôm Chôm       DT</t>
  </si>
  <si>
    <t>Mãng Cầu          DT</t>
  </si>
  <si>
    <t>Cây Sầu Riêng      
                          DT</t>
  </si>
  <si>
    <t>Cây Mít              DT</t>
  </si>
  <si>
    <t>Thanh Long        DT</t>
  </si>
  <si>
    <t xml:space="preserve">Cây ăn quả khác (dứa,nho, măng cụt, đu đủ, ổi, vú sữa, bơ, me, khế, táo, mận, khác)                                             </t>
  </si>
  <si>
    <t>Sản lượng</t>
  </si>
  <si>
    <t>b3</t>
  </si>
  <si>
    <t>DT cây lâu năm khác (bao gồm cây dược liệu lâu năm)</t>
  </si>
  <si>
    <t>*</t>
  </si>
  <si>
    <t xml:space="preserve">Sản phẩm phụ cây lâu năm </t>
  </si>
  <si>
    <t>1.2</t>
  </si>
  <si>
    <t>Tổng đàn gia súc, gia cầm, chăn nuôi khác</t>
  </si>
  <si>
    <t>con</t>
  </si>
  <si>
    <t>Gia súc</t>
  </si>
  <si>
    <t>Đàn Trâu</t>
  </si>
  <si>
    <t>Đàn Bò</t>
  </si>
  <si>
    <t xml:space="preserve">                       - Bò sữa</t>
  </si>
  <si>
    <t>Đàn Heo (tổng số)</t>
  </si>
  <si>
    <t xml:space="preserve">                        Heo sinh sản</t>
  </si>
  <si>
    <t xml:space="preserve">                        Heo thịt</t>
  </si>
  <si>
    <t xml:space="preserve">                        Heo đực giống</t>
  </si>
  <si>
    <t>Chăn nuôi khác</t>
  </si>
  <si>
    <t>Gia cầm</t>
  </si>
  <si>
    <t>1.000 con</t>
  </si>
  <si>
    <t>Sản phẩm chăn nuôi</t>
  </si>
  <si>
    <t>Thịt hơi các loại</t>
  </si>
  <si>
    <t xml:space="preserve">                   Thịt heo</t>
  </si>
  <si>
    <t xml:space="preserve">                   Thịt trâu</t>
  </si>
  <si>
    <t xml:space="preserve">                   Thịt bò</t>
  </si>
  <si>
    <t xml:space="preserve">                   Thịt CN khác</t>
  </si>
  <si>
    <t xml:space="preserve">                   Thịt gia cầm các loại</t>
  </si>
  <si>
    <t xml:space="preserve">                   Sản phẩm phụ chăn nuôi</t>
  </si>
  <si>
    <t>Sữa tươi</t>
  </si>
  <si>
    <t xml:space="preserve">Trứng </t>
  </si>
  <si>
    <t>1.000 quả</t>
  </si>
  <si>
    <t>2.1</t>
  </si>
  <si>
    <t>Lâm sinh</t>
  </si>
  <si>
    <t xml:space="preserve">Khoán bảo vệ rừng </t>
  </si>
  <si>
    <t>Khoanh nuôi tái sinh rừng</t>
  </si>
  <si>
    <t>c</t>
  </si>
  <si>
    <t>Trồng rừng tập trung</t>
  </si>
  <si>
    <t xml:space="preserve"> - Rừng PH và ĐD</t>
  </si>
  <si>
    <t xml:space="preserve"> - Rừng sản xuất</t>
  </si>
  <si>
    <t>d</t>
  </si>
  <si>
    <t>Trồng cây phân tán</t>
  </si>
  <si>
    <t>1000 cây</t>
  </si>
  <si>
    <t>đ</t>
  </si>
  <si>
    <t>Chăm sóc rừng trồng</t>
  </si>
  <si>
    <t xml:space="preserve"> - Rừng sản xuất </t>
  </si>
  <si>
    <t>2.2</t>
  </si>
  <si>
    <t xml:space="preserve">Khai thác gỗ và lâm sản </t>
  </si>
  <si>
    <t>Gỗ (tổng số)</t>
  </si>
  <si>
    <t>Trong đó: Rừng tự nhiên</t>
  </si>
  <si>
    <t xml:space="preserve">                   Rừng trồng</t>
  </si>
  <si>
    <t xml:space="preserve">Khác </t>
  </si>
  <si>
    <t>Củi</t>
  </si>
  <si>
    <t>Ste</t>
  </si>
  <si>
    <t>Tre, tầm vong</t>
  </si>
  <si>
    <t>1000c</t>
  </si>
  <si>
    <t>Trúc</t>
  </si>
  <si>
    <t>2.3</t>
  </si>
  <si>
    <t>Ươm giống cây lâm nghiệp</t>
  </si>
  <si>
    <t>2.4</t>
  </si>
  <si>
    <t>Thu nhặt sp từ rừng không phải gỗ và lâm sản khác</t>
  </si>
  <si>
    <t>Lá nón</t>
  </si>
  <si>
    <t>1.000 lá</t>
  </si>
  <si>
    <t>Măng tươi</t>
  </si>
  <si>
    <t xml:space="preserve">2.5 </t>
  </si>
  <si>
    <t>DV Lâm nghiệp</t>
  </si>
  <si>
    <t xml:space="preserve">Khoán bảo vệ rừng (mục a) </t>
  </si>
  <si>
    <t xml:space="preserve">Thủy sản </t>
  </si>
  <si>
    <t>Kết quả sản xuất</t>
  </si>
  <si>
    <t>Tổng sản lượng thủy sản</t>
  </si>
  <si>
    <t xml:space="preserve"> - Khai thác </t>
  </si>
  <si>
    <t xml:space="preserve">   + Khai thác nội địa</t>
  </si>
  <si>
    <t xml:space="preserve"> - Nuôi trồng</t>
  </si>
  <si>
    <t xml:space="preserve">   + Nuôi thủy sản ngọt</t>
  </si>
  <si>
    <t xml:space="preserve">Giá trị xuất khẩu </t>
  </si>
  <si>
    <t>Giống thủy sản</t>
  </si>
  <si>
    <t>Tr.con</t>
  </si>
  <si>
    <t>Năng lực sản xuất</t>
  </si>
  <si>
    <t>Tổng số lượng tàu thuyền</t>
  </si>
  <si>
    <t>chiếc</t>
  </si>
  <si>
    <t>Số cơ sở chế biến</t>
  </si>
  <si>
    <t>cơ sở</t>
  </si>
  <si>
    <t>Công suất chế biến</t>
  </si>
  <si>
    <t>tấn/năm</t>
  </si>
  <si>
    <t>b4</t>
  </si>
  <si>
    <t>DT NTTS. Trong đó:</t>
  </si>
  <si>
    <t xml:space="preserve"> - Nuôi nước ngọt</t>
  </si>
  <si>
    <t xml:space="preserve">Tỷ lệ xã xây dựng nông thôn mới </t>
  </si>
  <si>
    <t>IV</t>
  </si>
  <si>
    <t>Tỷ lệ dân cư nông thôn sử dụng nước hợp vệ sinh</t>
  </si>
  <si>
    <t>Tỷ lệ dân tỷ lệ dân nông thôn sử dụng nước sạch theo QCVN 02:2009/BYT của Bộ Y tế</t>
  </si>
  <si>
    <t>Tỷ lệ che phủ rừng đã loại trừ cây cao su</t>
  </si>
  <si>
    <t>Giá trị sản phẩm thu được trên 1 ha đất trồng trọt</t>
  </si>
  <si>
    <t>triệu đồng/ha/năm</t>
  </si>
  <si>
    <t>Tỷ lệ hộ dân cư nông thôn được sử dụng nước sạch theo quy chuẩn BYT</t>
  </si>
  <si>
    <t>Số tiêu chí bình quân cả tỉnh</t>
  </si>
  <si>
    <t>Số đơn vị cấp huyện đạt chuẩn NTM</t>
  </si>
  <si>
    <t>Số xã đạt chuẩn nông thôn mới</t>
  </si>
  <si>
    <t>GIÁ TRỊ SẢN XUẤT TRỒNG TRỌT</t>
  </si>
  <si>
    <t>Lúa cả năm</t>
  </si>
  <si>
    <t>Bắp</t>
  </si>
  <si>
    <t>Khoai lang</t>
  </si>
  <si>
    <t>Mì</t>
  </si>
  <si>
    <t>Chất bột khác (kể cả khoai sọ)</t>
  </si>
  <si>
    <t>Rau các loại</t>
  </si>
  <si>
    <t>Đậu các loại</t>
  </si>
  <si>
    <t>Mía</t>
  </si>
  <si>
    <t>Đậu phọng</t>
  </si>
  <si>
    <t>Thuốc lá</t>
  </si>
  <si>
    <t>Mè</t>
  </si>
  <si>
    <t>+ Hoa huệ (1000 bông)</t>
  </si>
  <si>
    <t>+ Hoa cúc (1000 bông)</t>
  </si>
  <si>
    <t>+ Hoa lan (1000 bông)</t>
  </si>
  <si>
    <t>+ Hoa vạn thọ (1000 bông)</t>
  </si>
  <si>
    <t>+ Hoa khác (1000 bông)</t>
  </si>
  <si>
    <t>+ Mai (cây)</t>
  </si>
  <si>
    <t>+ Quất (cây)</t>
  </si>
  <si>
    <t>+ Cây cảnh khác (cây)</t>
  </si>
  <si>
    <t>+ Ớt</t>
  </si>
  <si>
    <t>+ Sả</t>
  </si>
  <si>
    <t>+ Gia vị khác</t>
  </si>
  <si>
    <t>+ Cây làm thức ăn gia súc</t>
  </si>
  <si>
    <t>+ Cây làm phân xanh</t>
  </si>
  <si>
    <t>+ Cây sen</t>
  </si>
  <si>
    <t>+ Cây hằng năm khác</t>
  </si>
  <si>
    <t>Cây lâu năm</t>
  </si>
  <si>
    <t>Cây công nghiệp</t>
  </si>
  <si>
    <t xml:space="preserve">Cao su </t>
  </si>
  <si>
    <t>Hồ tiêu</t>
  </si>
  <si>
    <t>Dừa</t>
  </si>
  <si>
    <t>Điều</t>
  </si>
  <si>
    <t>Cây ăn quả</t>
  </si>
  <si>
    <t>Cây Cam, Quít, Chanh</t>
  </si>
  <si>
    <t>Cây Bưởi</t>
  </si>
  <si>
    <t>Cây Chuối</t>
  </si>
  <si>
    <t>Cây Xoài</t>
  </si>
  <si>
    <t>Cây Nhãn</t>
  </si>
  <si>
    <t>Chôm Chôm</t>
  </si>
  <si>
    <t>Mãng Cầu</t>
  </si>
  <si>
    <t xml:space="preserve">Cây Sầu Riêng   </t>
  </si>
  <si>
    <t>Cây Mít</t>
  </si>
  <si>
    <t>Thanh Long</t>
  </si>
  <si>
    <t xml:space="preserve">Cây ăn quả khác (nho, dứa, măng cụt, đu đủ, ổi, vú sữa, táo, khác)                                             </t>
  </si>
  <si>
    <t>cây lâu năm khác (bao gồm cây dược liệu lâu năm)</t>
  </si>
  <si>
    <t>GIÁ TRỊ SẢN XUẤT CHĂN NUÔI</t>
  </si>
  <si>
    <t>Thịt hơi các loại (tấn)</t>
  </si>
  <si>
    <t>Sữa tươi (tấn)</t>
  </si>
  <si>
    <t>Trứng (ngàn quả)</t>
  </si>
  <si>
    <t>KH 2021</t>
  </si>
  <si>
    <t>KH 21</t>
  </si>
  <si>
    <t>UTH 21</t>
  </si>
  <si>
    <t>KH2022</t>
  </si>
  <si>
    <t>Đơn giá cố định 2010 (triệu đồng/tấn)</t>
  </si>
  <si>
    <t>GIÁ TRỊ</t>
  </si>
  <si>
    <t>KH22</t>
  </si>
  <si>
    <t xml:space="preserve">TH 
 2019 </t>
  </si>
  <si>
    <t>GIÁ TRỊ SẢN XUẤT THUỶ SẢN</t>
  </si>
  <si>
    <t>Sản lượng khai thác</t>
  </si>
  <si>
    <t xml:space="preserve">                   Cá</t>
  </si>
  <si>
    <t xml:space="preserve">                   Tôm</t>
  </si>
  <si>
    <t xml:space="preserve">                   Thuỷ sản khác</t>
  </si>
  <si>
    <t>Sản lượng nuôi trồng</t>
  </si>
  <si>
    <t>GIÁ TRỊ SẢN XUẤT LÂM NGHIỆP</t>
  </si>
  <si>
    <t xml:space="preserve">                   Trồng rừng PH, ĐD (ha)</t>
  </si>
  <si>
    <t xml:space="preserve">                   Trồng cây phân tán (ha)</t>
  </si>
  <si>
    <t>Trồng rừng, chăm sóc</t>
  </si>
  <si>
    <t xml:space="preserve">                   Khoanh nuôi, xúc tiến tái sinh (ha)</t>
  </si>
  <si>
    <t xml:space="preserve">                   Trồng rừng ngoài dân (ha)</t>
  </si>
  <si>
    <t>Khai thác rừng</t>
  </si>
  <si>
    <t xml:space="preserve">                   Gỗ (m3)</t>
  </si>
  <si>
    <t xml:space="preserve">                   Chăm sóc rừng (ha)</t>
  </si>
  <si>
    <t xml:space="preserve">                   Củi (1.000 ster)</t>
  </si>
  <si>
    <t xml:space="preserve">                   Tre (1.000 cây)</t>
  </si>
  <si>
    <t xml:space="preserve">                   Trúc, nứa (1.000 cây)</t>
  </si>
  <si>
    <t xml:space="preserve">                   Lá nón (1.000 lá)</t>
  </si>
  <si>
    <t xml:space="preserve">                   Mật ong (tấn)</t>
  </si>
  <si>
    <t xml:space="preserve">                   Măng tươi (tấn)</t>
  </si>
  <si>
    <t>Dịch vụ LN</t>
  </si>
  <si>
    <r>
      <t xml:space="preserve">                </t>
    </r>
    <r>
      <rPr>
        <sz val="11"/>
        <rFont val="Times New Roman"/>
        <family val="1"/>
      </rPr>
      <t xml:space="preserve">   Bảo vệ rừng (ha)</t>
    </r>
  </si>
  <si>
    <t>Giống thuỷ sản (triệu con)</t>
  </si>
  <si>
    <t>Số xã đạt chuẩn nông thôn mới nâng cao</t>
  </si>
  <si>
    <t>Gỗ cao su hết kỳ khai thác</t>
  </si>
  <si>
    <t>Cây trồng phân tán</t>
  </si>
  <si>
    <t>KH 22</t>
  </si>
  <si>
    <t>GTSX cố định (1)</t>
  </si>
  <si>
    <t>GTSX hiện hành (2)</t>
  </si>
  <si>
    <t>Diện tích gieo trồng tính vụ (3)</t>
  </si>
  <si>
    <t>Diện tích đất NN ko tính vụ (4)</t>
  </si>
  <si>
    <t>Chênh lệch hiện hành/ cố định (5)=(2)/(1)</t>
  </si>
  <si>
    <t>Timeline</t>
  </si>
  <si>
    <t>Values</t>
  </si>
  <si>
    <t>Forecast</t>
  </si>
  <si>
    <t>Lower Confidence Bound</t>
  </si>
  <si>
    <t>Upper Confidence Bound</t>
  </si>
  <si>
    <t>Chênh lệch giữa S gieo trồng/S đất NN (6) =(3)/(4)</t>
  </si>
  <si>
    <t>Giá trị trên 1 ha trồng trọt (7)= (2)/(4)</t>
  </si>
  <si>
    <t>KH 23</t>
  </si>
  <si>
    <t>KH 24</t>
  </si>
  <si>
    <t>TÍNH GIÁ TRỊ SẢN PHẨM THU ĐƯỢC TRÊN 1 HA ĐẤT TRỒNG TRỌT</t>
  </si>
  <si>
    <t>Giá trị cần tính THÔNG QUA DỰ ĐOÁN</t>
  </si>
  <si>
    <t>Giá trị SP THU ĐƯỢC/1HA ĐẤT</t>
  </si>
  <si>
    <t>Dùng Forecast dự đoán tỷ lệ</t>
  </si>
  <si>
    <t>So sánh (%)</t>
  </si>
  <si>
    <t>Sản lượng một số sản phẩm chăn nuôi chủ yếu</t>
  </si>
  <si>
    <t>- Thịt heo</t>
  </si>
  <si>
    <t>- Thịt trâu</t>
  </si>
  <si>
    <t>- Thịt bò</t>
  </si>
  <si>
    <t>- Thịt gia cầm các loại</t>
  </si>
  <si>
    <t>- Trứng các loại</t>
  </si>
  <si>
    <t>- Sữa tươi</t>
  </si>
  <si>
    <t>Nghìn quả</t>
  </si>
  <si>
    <t>Tấn</t>
  </si>
  <si>
    <t>Diện tích rừng hiện có</t>
  </si>
  <si>
    <t>Diện tích rừng được bảo vệ</t>
  </si>
  <si>
    <t>KH 
NĂM 2022</t>
  </si>
  <si>
    <t>- Tỷ lệ số huyện đạt chuẩn/hoàn thành nhiệm vụ XDNTM</t>
  </si>
  <si>
    <t>đơn vị</t>
  </si>
  <si>
    <t>- Đơn vị cấp huyện hoàn thành/đạt chuẩn xây dựng nông thôn mới</t>
  </si>
  <si>
    <t>Phụ lục I
BIỂU TỔNG HỢP CÁC CHỈ TIÊU PHÁT TRIỂN NGÀNH  NĂM 2021, KẾ HOẠCH NĂM 2022</t>
  </si>
  <si>
    <t>Trong đó số hộ sử dụng nước sạch tăng so với năm trước</t>
  </si>
  <si>
    <t>hộ</t>
  </si>
  <si>
    <t>- Số tiêu chí nông thôn mới bình quân cả tỉnh</t>
  </si>
  <si>
    <t>-</t>
  </si>
  <si>
    <t>Trong đó số hộ sử dụng nước sạch tăng so với năm trước (*)</t>
  </si>
  <si>
    <t>* Số liệu năm 2020 không thống kê vì năm 2019 số hộ sử dụng nước là 167.200 hộ đến năm 2020 số hộ sử dụng nước còn 136.734 hộ, giảm 30.466 hộ. Lý do: một số xã khu vực nông thôn lên thành thị</t>
  </si>
  <si>
    <t xml:space="preserve">                             SP</t>
  </si>
  <si>
    <t xml:space="preserve">                            NS</t>
  </si>
  <si>
    <t xml:space="preserve">                            SL</t>
  </si>
  <si>
    <t xml:space="preserve">                            SP</t>
  </si>
  <si>
    <t xml:space="preserve">Mía                       DT </t>
  </si>
  <si>
    <t xml:space="preserve">Cao su                   DT </t>
  </si>
  <si>
    <t xml:space="preserve">Hồ tiêu                  DT </t>
  </si>
  <si>
    <t xml:space="preserve">Dừa                      DT </t>
  </si>
  <si>
    <t xml:space="preserve">Điều                     DT </t>
  </si>
  <si>
    <t>(Kèm theo Báo cáo số          /BC-SNN ngày        /01/2022 của Sở Nông nghiệp và PTNT)</t>
  </si>
  <si>
    <t>TH2021</t>
  </si>
  <si>
    <t>TH 
NĂM 2021</t>
  </si>
  <si>
    <t>ƯTH
NĂM 2022</t>
  </si>
  <si>
    <t>KH 
NĂM 2023</t>
  </si>
  <si>
    <t>ƯTH 2022
KH 2022</t>
  </si>
  <si>
    <t>ƯTH 2022
TH 2021</t>
  </si>
  <si>
    <t>KH 2023
ƯTH 2022</t>
  </si>
  <si>
    <t>Tỷ lệ giá trị sản phẩm nông, lâm, thủy sản được sản xuất dưới các hình thức hợp tác và liên kết</t>
  </si>
  <si>
    <t>Tỷ lệ giá trị sản phẩm nông, lâm, thủy sản được sản xuất theo các quy trình sản xuất tốt hoặc tương đương</t>
  </si>
  <si>
    <t xml:space="preserve">Tỷ lệ giá trị sản phẩm nông nghiệp ứng dụng công nghệ cao </t>
  </si>
  <si>
    <t xml:space="preserve">Tỷ lệ diện tích sản xuất nông nghiệp được tưới tiết kiệm nước </t>
  </si>
  <si>
    <t>Tỷ lệ lao động nông nghiệp qua đào tạo</t>
  </si>
  <si>
    <t>Tỷ lệ hợp tác xã nông nghiệp hoạt động hiệu quả</t>
  </si>
  <si>
    <t>Tỷ lệ diện tích rừng sản xuất được quản lý bền vững có xác nhận</t>
  </si>
  <si>
    <t>TH 2022</t>
  </si>
  <si>
    <t>Năm 2023</t>
  </si>
  <si>
    <t>KH 2024</t>
  </si>
  <si>
    <t>KH</t>
  </si>
  <si>
    <t>6 tháng đầu năm</t>
  </si>
  <si>
    <t>UTH cả năm</t>
  </si>
  <si>
    <t>ƯTH23/
KH23</t>
  </si>
  <si>
    <t>ƯTH23/
TH22</t>
  </si>
  <si>
    <t>KH24/
ƯTH23</t>
  </si>
  <si>
    <t xml:space="preserve">                        - Đàn gà</t>
  </si>
  <si>
    <t xml:space="preserve">                      - Tỷ lệ bò lai</t>
  </si>
  <si>
    <t xml:space="preserve">                        Tỷ lệ lợn lai, ngoại</t>
  </si>
  <si>
    <t xml:space="preserve">               Tổng số gia cầm xuất bán</t>
  </si>
  <si>
    <t>Sản lượng mật ong</t>
  </si>
  <si>
    <t>b5</t>
  </si>
  <si>
    <t>Sản lượng tổ yến</t>
  </si>
  <si>
    <t>Phụ lục 2</t>
  </si>
  <si>
    <t>TH 
NĂM 2022</t>
  </si>
  <si>
    <t>ƯTH
NĂM 2023</t>
  </si>
  <si>
    <t>KH 
NĂM 2024</t>
  </si>
  <si>
    <t>ƯTH 2023
KH 2023</t>
  </si>
  <si>
    <t>ƯTH 2023
TH 2022</t>
  </si>
  <si>
    <t>KH 2024
ƯTH 2023</t>
  </si>
  <si>
    <t xml:space="preserve"> - Cây ăn quả</t>
  </si>
  <si>
    <t>- Rau các loại</t>
  </si>
  <si>
    <t>Phụ lục I
BIỂU TỔNG HỢP CÁC CHỈ TIÊU PHÁT TRIỂN NGÀNH  NĂM 2023, KẾ HOẠCH NĂM 2024</t>
  </si>
  <si>
    <t>- Tỷ lệ số xã đạt chuẩn nông thôn mới nâng cao</t>
  </si>
  <si>
    <r>
      <t xml:space="preserve">ƯỚC KẾT QUẢ SẢN XUẤT NÔNG, LÂM, THỦY SẢN NĂM 2023, XÂY DỰNG KẾ HOẠCH NĂM 2024
</t>
    </r>
    <r>
      <rPr>
        <i/>
        <sz val="13"/>
        <color theme="1"/>
        <rFont val="Times New Roman"/>
        <family val="1"/>
      </rPr>
      <t>(Kèm theo Công văn số            /BC-SNN ngày     / 7/2021 của Sở Nông nghiệp và PTNT)</t>
    </r>
  </si>
  <si>
    <r>
      <t>m</t>
    </r>
    <r>
      <rPr>
        <b/>
        <i/>
        <vertAlign val="superscript"/>
        <sz val="11"/>
        <rFont val="Times New Roman"/>
        <family val="1"/>
      </rPr>
      <t>3</t>
    </r>
  </si>
  <si>
    <r>
      <t>m</t>
    </r>
    <r>
      <rPr>
        <vertAlign val="superscript"/>
        <sz val="11"/>
        <rFont val="Times New Roman"/>
        <family val="1"/>
      </rPr>
      <t>3</t>
    </r>
  </si>
  <si>
    <r>
      <t>CÁC CHỈ TIÊU VỀ XÃ HỘI</t>
    </r>
    <r>
      <rPr>
        <sz val="11"/>
        <rFont val="Times New Roman"/>
        <family val="1"/>
      </rPr>
      <t> </t>
    </r>
  </si>
  <si>
    <r>
      <t>CÁC CHỈ TIÊU VỀ MÔI TRƯỜNG</t>
    </r>
    <r>
      <rPr>
        <sz val="11"/>
        <rFont val="Times New Roman"/>
        <family val="1"/>
      </rPr>
      <t> </t>
    </r>
  </si>
  <si>
    <r>
      <t>CHỈ TIÊU PHÁT TRIỂN NGÀNH</t>
    </r>
    <r>
      <rPr>
        <sz val="11"/>
        <rFont val="Times New Roman"/>
        <family val="1"/>
      </rPr>
      <t> </t>
    </r>
    <r>
      <rPr>
        <b/>
        <sz val="11"/>
        <rFont val="Times New Roman"/>
        <family val="1"/>
      </rPr>
      <t>KHÁC</t>
    </r>
  </si>
  <si>
    <t>(Kèm theo Báo cáo số          /BC-SNN ngày        /      /202     của Sở Nông nghiệp và PTNT)</t>
  </si>
  <si>
    <t>(Kèm theo Báo cáo số       /BC-SNN ngày    /     /202    của Sở Nông nghiệp và PTNT)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</si>
</sst>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0.000"/>
    <numFmt numFmtId="166" formatCode="0.0"/>
    <numFmt numFmtId="167" formatCode="#,##0.0"/>
    <numFmt numFmtId="168" formatCode="_-* #,##0.0_-;\-* #,##0.0_-;_-* &quot;-&quot;??_-;_-@_-"/>
    <numFmt numFmtId="169" formatCode="_-* #,##0_-;\-* #,##0_-;_-* &quot;-&quot;??_-;_-@_-"/>
    <numFmt numFmtId="170" formatCode="_(* #,##0_);_(* \(#,##0\);_(* &quot;-&quot;??_);_(@_)"/>
    <numFmt numFmtId="171" formatCode="#,#00.0"/>
    <numFmt numFmtId="172" formatCode="#,#00"/>
    <numFmt numFmtId="173" formatCode="_-* #_-;\-* #_-;_-* &quot;-&quot;??_-;_-@_-"/>
    <numFmt numFmtId="174" formatCode="#,#00.00"/>
    <numFmt numFmtId="175" formatCode="_(* #,##0.0_);_(* \(#,##0.0\);_(* &quot;-&quot;??_);_(@_)"/>
    <numFmt numFmtId="176" formatCode="0.0%"/>
  </numFmts>
  <fonts count="53" x14ac:knownFonts="1">
    <font>
      <sz val="10"/>
      <name val="Arial"/>
    </font>
    <font>
      <sz val="11"/>
      <color indexed="8"/>
      <name val="Calibri"/>
      <family val="2"/>
    </font>
    <font>
      <sz val="12"/>
      <name val="Times New Roman"/>
      <family val="1"/>
    </font>
    <font>
      <b/>
      <sz val="12"/>
      <name val="Times New Roman"/>
      <family val="1"/>
    </font>
    <font>
      <i/>
      <sz val="12"/>
      <name val="Times New Roman"/>
      <family val="1"/>
    </font>
    <font>
      <sz val="12"/>
      <name val="Times New Roman"/>
      <family val="1"/>
      <charset val="163"/>
    </font>
    <font>
      <sz val="8"/>
      <name val="Arial"/>
      <family val="2"/>
    </font>
    <font>
      <sz val="10"/>
      <name val="Arial"/>
      <family val="2"/>
      <charset val="163"/>
    </font>
    <font>
      <b/>
      <sz val="12"/>
      <name val="Times New Roman"/>
      <family val="1"/>
      <charset val="163"/>
    </font>
    <font>
      <b/>
      <sz val="12"/>
      <name val="Arial"/>
      <family val="2"/>
    </font>
    <font>
      <sz val="11"/>
      <name val="Times New Roman"/>
      <family val="1"/>
    </font>
    <font>
      <b/>
      <sz val="11"/>
      <name val="Times New Roman"/>
      <family val="1"/>
    </font>
    <font>
      <b/>
      <i/>
      <sz val="11"/>
      <name val="Times New Roman"/>
      <family val="1"/>
    </font>
    <font>
      <b/>
      <sz val="9"/>
      <color indexed="81"/>
      <name val="Tahoma"/>
      <family val="2"/>
    </font>
    <font>
      <sz val="9"/>
      <color indexed="81"/>
      <name val="Tahoma"/>
      <family val="2"/>
    </font>
    <font>
      <b/>
      <sz val="11"/>
      <name val="Times"/>
      <family val="1"/>
    </font>
    <font>
      <b/>
      <i/>
      <sz val="11"/>
      <name val="Times"/>
      <family val="1"/>
    </font>
    <font>
      <sz val="11"/>
      <name val="Times New Roman"/>
      <family val="1"/>
      <charset val="163"/>
    </font>
    <font>
      <i/>
      <sz val="11"/>
      <name val="Times New Roman"/>
      <family val="1"/>
    </font>
    <font>
      <i/>
      <sz val="11"/>
      <name val="Times New Roman"/>
      <family val="1"/>
      <charset val="163"/>
    </font>
    <font>
      <sz val="11"/>
      <name val="Times"/>
      <family val="1"/>
    </font>
    <font>
      <b/>
      <i/>
      <sz val="11"/>
      <name val="Times New Roman"/>
      <family val="1"/>
      <charset val="163"/>
    </font>
    <font>
      <sz val="10"/>
      <name val="Arial"/>
      <family val="2"/>
    </font>
    <font>
      <b/>
      <i/>
      <sz val="11"/>
      <name val="Times"/>
      <family val="1"/>
      <charset val="163"/>
    </font>
    <font>
      <b/>
      <i/>
      <sz val="10"/>
      <name val="Arial"/>
      <family val="2"/>
      <charset val="163"/>
    </font>
    <font>
      <b/>
      <sz val="11"/>
      <name val="Times"/>
      <charset val="163"/>
    </font>
    <font>
      <sz val="11"/>
      <color theme="1"/>
      <name val="Calibri"/>
      <family val="2"/>
      <scheme val="minor"/>
    </font>
    <font>
      <b/>
      <sz val="11"/>
      <color theme="1"/>
      <name val="Times New Roman"/>
      <family val="1"/>
    </font>
    <font>
      <sz val="11"/>
      <color rgb="FFFF0000"/>
      <name val="Times New Roman"/>
      <family val="1"/>
      <charset val="163"/>
    </font>
    <font>
      <b/>
      <i/>
      <sz val="11"/>
      <color rgb="FFFF0000"/>
      <name val="Times New Roman"/>
      <family val="1"/>
      <charset val="163"/>
    </font>
    <font>
      <b/>
      <i/>
      <sz val="11"/>
      <color rgb="FFFF0000"/>
      <name val="Times"/>
      <charset val="163"/>
    </font>
    <font>
      <b/>
      <i/>
      <sz val="11"/>
      <color rgb="FFFF0000"/>
      <name val="Times New Roman"/>
      <family val="1"/>
    </font>
    <font>
      <sz val="12"/>
      <color theme="1"/>
      <name val="Times New Roman"/>
      <family val="1"/>
    </font>
    <font>
      <b/>
      <sz val="12"/>
      <color theme="1"/>
      <name val="Times New Roman"/>
      <family val="1"/>
    </font>
    <font>
      <sz val="13"/>
      <color theme="1"/>
      <name val="Times New Roman"/>
      <family val="2"/>
    </font>
    <font>
      <sz val="11"/>
      <color theme="1"/>
      <name val="Cambria"/>
      <family val="1"/>
      <scheme val="major"/>
    </font>
    <font>
      <b/>
      <sz val="11"/>
      <name val="Cambria"/>
      <family val="1"/>
      <scheme val="major"/>
    </font>
    <font>
      <sz val="11"/>
      <name val="Cambria"/>
      <family val="1"/>
      <scheme val="major"/>
    </font>
    <font>
      <b/>
      <sz val="11"/>
      <color rgb="FFFF0000"/>
      <name val="Cambria"/>
      <family val="1"/>
      <scheme val="major"/>
    </font>
    <font>
      <b/>
      <sz val="11"/>
      <color theme="1"/>
      <name val="Cambria"/>
      <family val="1"/>
      <scheme val="major"/>
    </font>
    <font>
      <sz val="12"/>
      <color rgb="FFFF0000"/>
      <name val="Times New Roman"/>
      <family val="1"/>
    </font>
    <font>
      <i/>
      <sz val="10"/>
      <name val="Times New Roman"/>
      <family val="1"/>
    </font>
    <font>
      <sz val="10"/>
      <color theme="1"/>
      <name val="Arial"/>
      <family val="2"/>
      <charset val="163"/>
    </font>
    <font>
      <b/>
      <sz val="11"/>
      <color theme="1"/>
      <name val="Times New Roman"/>
      <family val="1"/>
      <charset val="163"/>
    </font>
    <font>
      <b/>
      <sz val="13"/>
      <color theme="1"/>
      <name val="Times New Roman"/>
      <family val="1"/>
      <charset val="163"/>
    </font>
    <font>
      <i/>
      <sz val="13"/>
      <color theme="1"/>
      <name val="Times New Roman"/>
      <family val="1"/>
    </font>
    <font>
      <i/>
      <sz val="13"/>
      <color theme="1"/>
      <name val="Times New Roman"/>
      <family val="1"/>
      <charset val="163"/>
    </font>
    <font>
      <sz val="11"/>
      <color theme="1"/>
      <name val="Arial"/>
      <family val="2"/>
      <charset val="163"/>
    </font>
    <font>
      <i/>
      <sz val="10"/>
      <color theme="1"/>
      <name val="Arial"/>
      <family val="2"/>
      <charset val="163"/>
    </font>
    <font>
      <sz val="10"/>
      <color rgb="FFFF0000"/>
      <name val="Arial"/>
      <family val="2"/>
      <charset val="163"/>
    </font>
    <font>
      <sz val="11"/>
      <color rgb="FFFF0000"/>
      <name val="Arial"/>
      <family val="2"/>
      <charset val="163"/>
    </font>
    <font>
      <b/>
      <i/>
      <vertAlign val="superscript"/>
      <sz val="11"/>
      <name val="Times New Roman"/>
      <family val="1"/>
    </font>
    <font>
      <vertAlign val="superscript"/>
      <sz val="11"/>
      <name val="Times New Roman"/>
      <family val="1"/>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164" fontId="7" fillId="0" borderId="0" applyFont="0" applyFill="0" applyBorder="0" applyAlignment="0" applyProtection="0"/>
    <xf numFmtId="164" fontId="7"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5" fillId="0" borderId="0"/>
    <xf numFmtId="0" fontId="1" fillId="0" borderId="0"/>
    <xf numFmtId="0" fontId="34" fillId="0" borderId="0"/>
    <xf numFmtId="0" fontId="26" fillId="0" borderId="0"/>
    <xf numFmtId="0" fontId="34" fillId="0" borderId="0"/>
    <xf numFmtId="0" fontId="22" fillId="0" borderId="0"/>
    <xf numFmtId="164" fontId="7" fillId="0" borderId="0" applyFont="0" applyFill="0" applyBorder="0" applyAlignment="0" applyProtection="0"/>
    <xf numFmtId="164" fontId="7" fillId="0" borderId="0" applyFont="0" applyFill="0" applyBorder="0" applyAlignment="0" applyProtection="0"/>
    <xf numFmtId="164" fontId="2" fillId="0" borderId="0" applyFont="0" applyFill="0" applyBorder="0" applyAlignment="0" applyProtection="0"/>
  </cellStyleXfs>
  <cellXfs count="309">
    <xf numFmtId="0" fontId="0" fillId="0" borderId="0" xfId="0"/>
    <xf numFmtId="0" fontId="2" fillId="0" borderId="0" xfId="0" applyFont="1" applyAlignment="1">
      <alignment vertical="center"/>
    </xf>
    <xf numFmtId="0" fontId="8" fillId="2" borderId="1" xfId="0" applyFont="1" applyFill="1" applyBorder="1" applyAlignment="1">
      <alignment horizontal="center" vertical="center" wrapText="1"/>
    </xf>
    <xf numFmtId="0" fontId="3" fillId="0" borderId="0" xfId="0" applyFont="1" applyAlignment="1">
      <alignment vertical="center"/>
    </xf>
    <xf numFmtId="0" fontId="2" fillId="0" borderId="0" xfId="0" applyFont="1" applyAlignment="1">
      <alignment horizontal="center" vertical="center"/>
    </xf>
    <xf numFmtId="165" fontId="2" fillId="0" borderId="0" xfId="0" applyNumberFormat="1" applyFont="1" applyAlignment="1">
      <alignment horizontal="center" vertical="center"/>
    </xf>
    <xf numFmtId="165" fontId="2" fillId="0" borderId="0" xfId="0" applyNumberFormat="1" applyFont="1" applyAlignment="1">
      <alignment vertical="center"/>
    </xf>
    <xf numFmtId="0" fontId="3" fillId="0" borderId="1" xfId="0" applyFont="1" applyBorder="1" applyAlignment="1">
      <alignment horizontal="center" vertical="center"/>
    </xf>
    <xf numFmtId="49" fontId="3" fillId="2" borderId="1" xfId="0" applyNumberFormat="1" applyFont="1" applyFill="1" applyBorder="1" applyAlignment="1">
      <alignment vertical="center"/>
    </xf>
    <xf numFmtId="165" fontId="2" fillId="2" borderId="1" xfId="0" applyNumberFormat="1" applyFont="1" applyFill="1" applyBorder="1" applyAlignment="1">
      <alignment horizontal="center" vertical="center"/>
    </xf>
    <xf numFmtId="169" fontId="3" fillId="0" borderId="1" xfId="1" applyNumberFormat="1" applyFont="1" applyFill="1" applyBorder="1" applyAlignment="1">
      <alignment horizontal="right" vertical="center"/>
    </xf>
    <xf numFmtId="166" fontId="3"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3" fillId="0" borderId="1" xfId="0" applyFont="1" applyBorder="1" applyAlignment="1">
      <alignment vertical="center"/>
    </xf>
    <xf numFmtId="165" fontId="2" fillId="0" borderId="1" xfId="0" applyNumberFormat="1" applyFont="1" applyBorder="1" applyAlignment="1">
      <alignment horizontal="center" vertical="center"/>
    </xf>
    <xf numFmtId="3" fontId="2" fillId="2" borderId="1" xfId="0" applyNumberFormat="1" applyFont="1" applyFill="1" applyBorder="1" applyAlignment="1">
      <alignment vertical="center"/>
    </xf>
    <xf numFmtId="0" fontId="3" fillId="0" borderId="1" xfId="0" applyFont="1" applyBorder="1" applyAlignment="1">
      <alignment horizontal="left" vertical="center"/>
    </xf>
    <xf numFmtId="165"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0" fontId="2" fillId="0" borderId="1" xfId="0" applyFont="1" applyBorder="1" applyAlignment="1">
      <alignment horizontal="left" vertical="center"/>
    </xf>
    <xf numFmtId="169" fontId="2" fillId="0" borderId="1" xfId="1" applyNumberFormat="1" applyFont="1" applyFill="1" applyBorder="1" applyAlignment="1">
      <alignment vertical="center"/>
    </xf>
    <xf numFmtId="169" fontId="2" fillId="0" borderId="1" xfId="1" applyNumberFormat="1" applyFont="1" applyBorder="1" applyAlignment="1">
      <alignment vertical="center"/>
    </xf>
    <xf numFmtId="49" fontId="3" fillId="0" borderId="1" xfId="0" applyNumberFormat="1" applyFont="1" applyBorder="1" applyAlignment="1">
      <alignment vertical="center"/>
    </xf>
    <xf numFmtId="165" fontId="2" fillId="0" borderId="1" xfId="0" applyNumberFormat="1" applyFont="1" applyBorder="1" applyAlignment="1">
      <alignment vertical="center"/>
    </xf>
    <xf numFmtId="0" fontId="2" fillId="0" borderId="1" xfId="5" applyFont="1" applyBorder="1" applyAlignment="1">
      <alignment horizontal="left" vertical="center" wrapText="1"/>
    </xf>
    <xf numFmtId="168" fontId="2" fillId="0" borderId="1" xfId="1" applyNumberFormat="1" applyFont="1" applyBorder="1" applyAlignment="1">
      <alignment vertical="center" wrapText="1"/>
    </xf>
    <xf numFmtId="173" fontId="2" fillId="0" borderId="1" xfId="1" applyNumberFormat="1" applyFont="1" applyBorder="1" applyAlignment="1">
      <alignment vertical="center" wrapText="1"/>
    </xf>
    <xf numFmtId="0" fontId="2" fillId="0" borderId="1" xfId="0" quotePrefix="1" applyFont="1" applyBorder="1" applyAlignment="1">
      <alignment vertical="center" wrapText="1"/>
    </xf>
    <xf numFmtId="168" fontId="2" fillId="0" borderId="1" xfId="1" applyNumberFormat="1" applyFont="1" applyFill="1" applyBorder="1" applyAlignment="1">
      <alignment horizontal="center" vertical="center" wrapText="1"/>
    </xf>
    <xf numFmtId="167" fontId="27" fillId="0" borderId="1" xfId="0" applyNumberFormat="1" applyFont="1" applyBorder="1" applyAlignment="1">
      <alignment vertical="center"/>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3" fontId="12" fillId="0" borderId="3" xfId="0" applyNumberFormat="1" applyFont="1" applyBorder="1" applyAlignment="1">
      <alignment vertical="center"/>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3" fontId="10" fillId="0" borderId="3" xfId="0" applyNumberFormat="1" applyFont="1" applyBorder="1" applyAlignment="1">
      <alignment vertical="center"/>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5" fillId="0" borderId="1" xfId="0" applyFont="1" applyBorder="1" applyAlignment="1">
      <alignment horizontal="center" vertical="center" wrapText="1"/>
    </xf>
    <xf numFmtId="3" fontId="16" fillId="0" borderId="3" xfId="0" applyNumberFormat="1" applyFont="1" applyBorder="1"/>
    <xf numFmtId="3" fontId="16" fillId="0" borderId="3" xfId="0" applyNumberFormat="1" applyFont="1" applyBorder="1" applyAlignment="1">
      <alignment wrapText="1"/>
    </xf>
    <xf numFmtId="3" fontId="17" fillId="0" borderId="3" xfId="0" applyNumberFormat="1" applyFont="1" applyBorder="1"/>
    <xf numFmtId="165" fontId="17" fillId="0" borderId="3" xfId="0" applyNumberFormat="1" applyFont="1" applyBorder="1"/>
    <xf numFmtId="0" fontId="10" fillId="3" borderId="3" xfId="0" applyFont="1" applyFill="1" applyBorder="1" applyAlignment="1">
      <alignment horizontal="center" vertical="center" wrapText="1"/>
    </xf>
    <xf numFmtId="0" fontId="10" fillId="3" borderId="3" xfId="0" applyFont="1" applyFill="1" applyBorder="1" applyAlignment="1">
      <alignment horizontal="left" vertical="center" wrapText="1"/>
    </xf>
    <xf numFmtId="3" fontId="17" fillId="3" borderId="3" xfId="0" applyNumberFormat="1" applyFont="1" applyFill="1" applyBorder="1"/>
    <xf numFmtId="165" fontId="17" fillId="3" borderId="3" xfId="0" applyNumberFormat="1" applyFont="1" applyFill="1" applyBorder="1"/>
    <xf numFmtId="3" fontId="19" fillId="0" borderId="3" xfId="0" applyNumberFormat="1" applyFont="1" applyBorder="1"/>
    <xf numFmtId="165" fontId="19" fillId="0" borderId="3" xfId="0" applyNumberFormat="1" applyFont="1" applyBorder="1"/>
    <xf numFmtId="0" fontId="17" fillId="0" borderId="3" xfId="0" applyFont="1" applyBorder="1"/>
    <xf numFmtId="0" fontId="18" fillId="0" borderId="3" xfId="0" applyFont="1" applyBorder="1" applyAlignment="1">
      <alignment horizontal="center" vertical="center" wrapText="1"/>
    </xf>
    <xf numFmtId="0" fontId="18" fillId="0" borderId="3" xfId="0" quotePrefix="1" applyFont="1" applyBorder="1" applyAlignment="1">
      <alignment horizontal="left" vertical="center" wrapText="1"/>
    </xf>
    <xf numFmtId="165" fontId="28" fillId="3" borderId="3" xfId="0" applyNumberFormat="1" applyFont="1" applyFill="1" applyBorder="1"/>
    <xf numFmtId="3" fontId="28" fillId="3" borderId="3" xfId="0" applyNumberFormat="1" applyFont="1" applyFill="1" applyBorder="1"/>
    <xf numFmtId="0" fontId="12" fillId="3" borderId="3" xfId="0" applyFont="1" applyFill="1" applyBorder="1" applyAlignment="1">
      <alignment horizontal="center" vertical="center" wrapText="1"/>
    </xf>
    <xf numFmtId="0" fontId="12" fillId="3" borderId="3" xfId="0" applyFont="1" applyFill="1" applyBorder="1" applyAlignment="1">
      <alignment horizontal="left" vertical="center" wrapText="1"/>
    </xf>
    <xf numFmtId="3" fontId="11" fillId="3" borderId="3" xfId="0" applyNumberFormat="1" applyFont="1" applyFill="1" applyBorder="1"/>
    <xf numFmtId="3" fontId="15" fillId="0" borderId="3" xfId="0" applyNumberFormat="1" applyFont="1" applyBorder="1"/>
    <xf numFmtId="3" fontId="18" fillId="0" borderId="3" xfId="0" applyNumberFormat="1" applyFont="1" applyBorder="1" applyAlignment="1">
      <alignment vertical="center"/>
    </xf>
    <xf numFmtId="165" fontId="20" fillId="0" borderId="3" xfId="0" applyNumberFormat="1" applyFont="1" applyBorder="1"/>
    <xf numFmtId="3" fontId="20" fillId="0" borderId="3" xfId="0" applyNumberFormat="1" applyFont="1" applyBorder="1"/>
    <xf numFmtId="0" fontId="12" fillId="0" borderId="5" xfId="0" applyFont="1" applyBorder="1" applyAlignment="1">
      <alignment horizontal="left" vertical="center" wrapText="1"/>
    </xf>
    <xf numFmtId="165" fontId="20" fillId="0" borderId="5" xfId="0" applyNumberFormat="1" applyFont="1" applyBorder="1"/>
    <xf numFmtId="3" fontId="20" fillId="0" borderId="5" xfId="0" applyNumberFormat="1" applyFont="1" applyBorder="1"/>
    <xf numFmtId="0" fontId="15" fillId="0" borderId="6" xfId="0" applyFont="1" applyBorder="1" applyAlignment="1">
      <alignment horizontal="center" vertical="center"/>
    </xf>
    <xf numFmtId="0" fontId="22" fillId="0" borderId="0" xfId="0" applyFont="1"/>
    <xf numFmtId="0" fontId="15" fillId="0" borderId="1" xfId="0" applyFont="1" applyBorder="1" applyAlignment="1">
      <alignment horizontal="center" vertical="center"/>
    </xf>
    <xf numFmtId="0" fontId="15" fillId="0" borderId="6" xfId="0" applyFont="1" applyBorder="1" applyAlignment="1">
      <alignment horizontal="center" vertical="center" wrapText="1"/>
    </xf>
    <xf numFmtId="0" fontId="0" fillId="0" borderId="3" xfId="0" applyBorder="1"/>
    <xf numFmtId="0" fontId="10" fillId="0" borderId="5" xfId="0" applyFont="1" applyBorder="1" applyAlignment="1">
      <alignment horizontal="center" vertical="center" wrapText="1"/>
    </xf>
    <xf numFmtId="165" fontId="30" fillId="0" borderId="3" xfId="0" applyNumberFormat="1" applyFont="1" applyBorder="1"/>
    <xf numFmtId="165" fontId="31" fillId="0" borderId="3" xfId="0" applyNumberFormat="1" applyFont="1" applyBorder="1" applyAlignment="1">
      <alignment vertical="center"/>
    </xf>
    <xf numFmtId="0" fontId="10" fillId="0" borderId="9" xfId="0" applyFont="1" applyBorder="1" applyAlignment="1">
      <alignment horizontal="center" vertical="center" wrapText="1"/>
    </xf>
    <xf numFmtId="0" fontId="18" fillId="0" borderId="9" xfId="0" applyFont="1" applyBorder="1" applyAlignment="1">
      <alignment horizontal="left" vertical="center" wrapText="1"/>
    </xf>
    <xf numFmtId="0" fontId="21" fillId="0" borderId="3" xfId="0" applyFont="1" applyBorder="1" applyAlignment="1">
      <alignment horizontal="center" vertical="center" wrapText="1"/>
    </xf>
    <xf numFmtId="0" fontId="21" fillId="0" borderId="3" xfId="0" applyFont="1" applyBorder="1" applyAlignment="1">
      <alignment horizontal="left" vertical="center" wrapText="1"/>
    </xf>
    <xf numFmtId="165" fontId="29" fillId="0" borderId="3" xfId="0" applyNumberFormat="1" applyFont="1" applyBorder="1" applyAlignment="1">
      <alignment vertical="center"/>
    </xf>
    <xf numFmtId="3" fontId="23" fillId="0" borderId="3" xfId="0" applyNumberFormat="1" applyFont="1" applyBorder="1"/>
    <xf numFmtId="0" fontId="24" fillId="0" borderId="0" xfId="0" applyFont="1"/>
    <xf numFmtId="3" fontId="15" fillId="4" borderId="3" xfId="0" applyNumberFormat="1" applyFont="1" applyFill="1" applyBorder="1"/>
    <xf numFmtId="3" fontId="21" fillId="4" borderId="3" xfId="0" applyNumberFormat="1" applyFont="1" applyFill="1" applyBorder="1" applyAlignment="1">
      <alignment vertical="center"/>
    </xf>
    <xf numFmtId="3" fontId="10" fillId="4" borderId="3" xfId="0" applyNumberFormat="1" applyFont="1" applyFill="1" applyBorder="1" applyAlignment="1">
      <alignment vertical="center"/>
    </xf>
    <xf numFmtId="3" fontId="10" fillId="4" borderId="9" xfId="0" applyNumberFormat="1" applyFont="1" applyFill="1" applyBorder="1" applyAlignment="1">
      <alignment vertical="center"/>
    </xf>
    <xf numFmtId="3" fontId="12" fillId="5" borderId="3" xfId="0" applyNumberFormat="1" applyFont="1" applyFill="1" applyBorder="1" applyAlignment="1">
      <alignment vertical="center"/>
    </xf>
    <xf numFmtId="3" fontId="10" fillId="5" borderId="3" xfId="0" applyNumberFormat="1" applyFont="1" applyFill="1" applyBorder="1" applyAlignment="1">
      <alignment vertical="center"/>
    </xf>
    <xf numFmtId="3" fontId="10" fillId="5" borderId="5" xfId="0" applyNumberFormat="1" applyFont="1" applyFill="1" applyBorder="1" applyAlignment="1">
      <alignment vertical="center"/>
    </xf>
    <xf numFmtId="3" fontId="25" fillId="0" borderId="5" xfId="0" applyNumberFormat="1" applyFont="1" applyBorder="1"/>
    <xf numFmtId="166" fontId="32" fillId="0" borderId="1" xfId="0" applyNumberFormat="1" applyFont="1" applyBorder="1" applyAlignment="1">
      <alignment vertical="center"/>
    </xf>
    <xf numFmtId="3" fontId="32" fillId="2" borderId="1" xfId="0" applyNumberFormat="1" applyFont="1" applyFill="1" applyBorder="1" applyAlignment="1">
      <alignment vertical="center"/>
    </xf>
    <xf numFmtId="3" fontId="33" fillId="0" borderId="1" xfId="0" applyNumberFormat="1" applyFont="1" applyBorder="1" applyAlignment="1">
      <alignment vertical="center"/>
    </xf>
    <xf numFmtId="3" fontId="32" fillId="0" borderId="1" xfId="0" applyNumberFormat="1" applyFont="1" applyBorder="1" applyAlignment="1">
      <alignment vertical="center"/>
    </xf>
    <xf numFmtId="169" fontId="32" fillId="0" borderId="1" xfId="1" applyNumberFormat="1" applyFont="1" applyFill="1" applyBorder="1" applyAlignment="1">
      <alignment vertical="center"/>
    </xf>
    <xf numFmtId="169" fontId="32" fillId="0" borderId="1" xfId="1" applyNumberFormat="1" applyFont="1" applyBorder="1" applyAlignment="1">
      <alignment vertical="center"/>
    </xf>
    <xf numFmtId="165" fontId="32" fillId="0" borderId="1" xfId="0" applyNumberFormat="1" applyFont="1" applyBorder="1" applyAlignment="1">
      <alignment vertical="center"/>
    </xf>
    <xf numFmtId="173" fontId="32" fillId="0" borderId="1" xfId="1" applyNumberFormat="1" applyFont="1" applyBorder="1" applyAlignment="1">
      <alignment vertical="center" wrapText="1"/>
    </xf>
    <xf numFmtId="3" fontId="35" fillId="0" borderId="1" xfId="0" applyNumberFormat="1" applyFont="1" applyBorder="1"/>
    <xf numFmtId="3" fontId="35" fillId="0" borderId="1" xfId="9" applyNumberFormat="1" applyFont="1" applyBorder="1" applyAlignment="1">
      <alignment horizontal="right"/>
    </xf>
    <xf numFmtId="2" fontId="0" fillId="0" borderId="0" xfId="0" applyNumberFormat="1"/>
    <xf numFmtId="0" fontId="0" fillId="6" borderId="0" xfId="0" applyFill="1"/>
    <xf numFmtId="0" fontId="0" fillId="4" borderId="0" xfId="0" applyFill="1"/>
    <xf numFmtId="0" fontId="0" fillId="7" borderId="0" xfId="0" applyFill="1"/>
    <xf numFmtId="3" fontId="35" fillId="4" borderId="1" xfId="9" applyNumberFormat="1" applyFont="1" applyFill="1" applyBorder="1" applyAlignment="1">
      <alignment horizontal="right"/>
    </xf>
    <xf numFmtId="0" fontId="37" fillId="0" borderId="1" xfId="0" applyFont="1" applyBorder="1"/>
    <xf numFmtId="0" fontId="37" fillId="0" borderId="1" xfId="0" applyFont="1" applyBorder="1" applyAlignment="1">
      <alignment horizontal="center" vertical="center"/>
    </xf>
    <xf numFmtId="0" fontId="37" fillId="6" borderId="1" xfId="0" applyFont="1" applyFill="1" applyBorder="1"/>
    <xf numFmtId="0" fontId="37" fillId="7" borderId="1" xfId="0" applyFont="1" applyFill="1" applyBorder="1"/>
    <xf numFmtId="2" fontId="38" fillId="7" borderId="1" xfId="0" applyNumberFormat="1" applyFont="1" applyFill="1" applyBorder="1"/>
    <xf numFmtId="0" fontId="36" fillId="0" borderId="1" xfId="0" applyFont="1" applyBorder="1"/>
    <xf numFmtId="3" fontId="39" fillId="0" borderId="1" xfId="9" applyNumberFormat="1" applyFont="1" applyBorder="1" applyAlignment="1">
      <alignment horizontal="right"/>
    </xf>
    <xf numFmtId="3" fontId="39" fillId="4" borderId="1" xfId="9" applyNumberFormat="1" applyFont="1" applyFill="1" applyBorder="1" applyAlignment="1">
      <alignment horizontal="right"/>
    </xf>
    <xf numFmtId="0" fontId="2" fillId="0" borderId="1" xfId="0" quotePrefix="1" applyFont="1" applyBorder="1" applyAlignment="1">
      <alignment vertical="center"/>
    </xf>
    <xf numFmtId="165" fontId="40" fillId="0" borderId="1" xfId="0" applyNumberFormat="1" applyFont="1" applyBorder="1" applyAlignment="1">
      <alignment vertical="center"/>
    </xf>
    <xf numFmtId="166" fontId="2" fillId="0" borderId="1" xfId="0" applyNumberFormat="1" applyFont="1" applyBorder="1" applyAlignment="1">
      <alignment vertical="center"/>
    </xf>
    <xf numFmtId="169" fontId="2" fillId="0" borderId="1" xfId="1" applyNumberFormat="1" applyFont="1" applyFill="1" applyBorder="1" applyAlignment="1">
      <alignment vertical="center" wrapText="1"/>
    </xf>
    <xf numFmtId="169" fontId="32" fillId="0" borderId="1" xfId="1" applyNumberFormat="1" applyFont="1" applyFill="1" applyBorder="1" applyAlignment="1">
      <alignment vertical="center" wrapText="1"/>
    </xf>
    <xf numFmtId="169" fontId="2" fillId="0" borderId="1" xfId="0" applyNumberFormat="1" applyFont="1" applyBorder="1" applyAlignment="1">
      <alignment vertical="center"/>
    </xf>
    <xf numFmtId="0" fontId="10" fillId="0" borderId="1" xfId="6" applyFont="1" applyBorder="1" applyAlignment="1">
      <alignment horizontal="left" vertical="center" wrapText="1"/>
    </xf>
    <xf numFmtId="0" fontId="10" fillId="0" borderId="1" xfId="6" applyFont="1" applyBorder="1" applyAlignment="1">
      <alignment horizontal="center" vertical="center" wrapText="1"/>
    </xf>
    <xf numFmtId="1" fontId="2" fillId="0" borderId="1" xfId="0" applyNumberFormat="1" applyFont="1" applyBorder="1" applyAlignment="1">
      <alignment horizontal="right" vertical="center" wrapText="1"/>
    </xf>
    <xf numFmtId="166" fontId="2" fillId="0" borderId="1" xfId="0" applyNumberFormat="1" applyFont="1" applyBorder="1" applyAlignment="1">
      <alignment horizontal="right" vertical="center" wrapText="1"/>
    </xf>
    <xf numFmtId="166" fontId="32" fillId="0" borderId="1" xfId="0" applyNumberFormat="1" applyFont="1" applyBorder="1" applyAlignment="1">
      <alignment horizontal="right" vertical="center" wrapText="1"/>
    </xf>
    <xf numFmtId="1" fontId="32" fillId="0" borderId="1" xfId="0" applyNumberFormat="1" applyFont="1" applyBorder="1" applyAlignment="1">
      <alignment horizontal="right" vertical="center" wrapText="1"/>
    </xf>
    <xf numFmtId="0" fontId="4" fillId="0" borderId="1" xfId="5" applyFont="1" applyBorder="1" applyAlignment="1">
      <alignment horizontal="left" vertical="center" wrapText="1"/>
    </xf>
    <xf numFmtId="168" fontId="2" fillId="0" borderId="1" xfId="1" applyNumberFormat="1" applyFont="1" applyBorder="1" applyAlignment="1">
      <alignment horizontal="center" vertical="center" wrapText="1"/>
    </xf>
    <xf numFmtId="0" fontId="41" fillId="0" borderId="0" xfId="0" applyFont="1" applyAlignment="1">
      <alignment horizontal="center" vertical="center"/>
    </xf>
    <xf numFmtId="0" fontId="41" fillId="0" borderId="0" xfId="0" applyFont="1" applyAlignment="1">
      <alignment vertical="center"/>
    </xf>
    <xf numFmtId="176" fontId="0" fillId="0" borderId="0" xfId="0" applyNumberFormat="1"/>
    <xf numFmtId="166" fontId="33" fillId="0" borderId="1" xfId="0" applyNumberFormat="1" applyFont="1" applyBorder="1" applyAlignment="1">
      <alignment vertical="center"/>
    </xf>
    <xf numFmtId="169" fontId="2" fillId="0" borderId="0" xfId="0" applyNumberFormat="1" applyFont="1" applyAlignment="1">
      <alignment vertical="center"/>
    </xf>
    <xf numFmtId="0" fontId="2" fillId="0" borderId="1" xfId="0" quotePrefix="1" applyFont="1" applyBorder="1" applyAlignment="1">
      <alignment horizontal="center" vertical="center" wrapText="1"/>
    </xf>
    <xf numFmtId="168" fontId="2" fillId="0" borderId="1" xfId="0" applyNumberFormat="1" applyFont="1" applyBorder="1" applyAlignment="1">
      <alignment vertical="center"/>
    </xf>
    <xf numFmtId="0" fontId="42" fillId="0" borderId="0" xfId="0" applyFont="1"/>
    <xf numFmtId="0" fontId="47" fillId="0" borderId="0" xfId="0" applyFont="1"/>
    <xf numFmtId="3" fontId="42" fillId="0" borderId="0" xfId="0" applyNumberFormat="1" applyFont="1"/>
    <xf numFmtId="0" fontId="42" fillId="2" borderId="0" xfId="0" applyFont="1" applyFill="1"/>
    <xf numFmtId="167" fontId="42" fillId="0" borderId="0" xfId="0" applyNumberFormat="1" applyFont="1"/>
    <xf numFmtId="0" fontId="48" fillId="0" borderId="0" xfId="0" applyFont="1"/>
    <xf numFmtId="3" fontId="2" fillId="0" borderId="0" xfId="0" applyNumberFormat="1" applyFont="1" applyAlignment="1">
      <alignment vertical="center"/>
    </xf>
    <xf numFmtId="0" fontId="49" fillId="0" borderId="0" xfId="0" applyFont="1"/>
    <xf numFmtId="0" fontId="50" fillId="0" borderId="0" xfId="0" applyFont="1"/>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3" fontId="11" fillId="0" borderId="2" xfId="0" applyNumberFormat="1" applyFont="1" applyBorder="1" applyAlignment="1">
      <alignment vertical="center"/>
    </xf>
    <xf numFmtId="4" fontId="11" fillId="0" borderId="2" xfId="0" applyNumberFormat="1" applyFont="1" applyBorder="1" applyAlignment="1">
      <alignment vertical="center"/>
    </xf>
    <xf numFmtId="3" fontId="12" fillId="0" borderId="3" xfId="0" applyNumberFormat="1" applyFont="1" applyBorder="1" applyAlignment="1">
      <alignment horizontal="right" vertical="center" wrapText="1"/>
    </xf>
    <xf numFmtId="167" fontId="12" fillId="0" borderId="3" xfId="0" applyNumberFormat="1" applyFont="1" applyBorder="1" applyAlignment="1">
      <alignment vertical="center"/>
    </xf>
    <xf numFmtId="4" fontId="12" fillId="0" borderId="3" xfId="0" applyNumberFormat="1" applyFont="1" applyBorder="1" applyAlignment="1">
      <alignment vertical="center"/>
    </xf>
    <xf numFmtId="3" fontId="10" fillId="0" borderId="3" xfId="0" applyNumberFormat="1" applyFont="1" applyBorder="1" applyAlignment="1">
      <alignment horizontal="right" vertical="center" wrapText="1"/>
    </xf>
    <xf numFmtId="167" fontId="10" fillId="0" borderId="3" xfId="0" applyNumberFormat="1" applyFont="1" applyBorder="1" applyAlignment="1">
      <alignment vertical="center"/>
    </xf>
    <xf numFmtId="4" fontId="10" fillId="0" borderId="3" xfId="0" applyNumberFormat="1" applyFont="1" applyBorder="1" applyAlignment="1">
      <alignment vertical="center"/>
    </xf>
    <xf numFmtId="3" fontId="12" fillId="0" borderId="3" xfId="0" applyNumberFormat="1" applyFont="1" applyBorder="1" applyAlignment="1">
      <alignment vertical="center" wrapText="1"/>
    </xf>
    <xf numFmtId="167" fontId="12" fillId="0" borderId="3" xfId="0" applyNumberFormat="1" applyFont="1" applyBorder="1" applyAlignment="1">
      <alignment vertical="center" wrapText="1"/>
    </xf>
    <xf numFmtId="4" fontId="12" fillId="0" borderId="3" xfId="0" applyNumberFormat="1" applyFont="1" applyBorder="1" applyAlignment="1">
      <alignment vertical="center" wrapText="1"/>
    </xf>
    <xf numFmtId="3" fontId="11" fillId="0" borderId="3" xfId="0" applyNumberFormat="1" applyFont="1" applyBorder="1" applyAlignment="1">
      <alignment horizontal="right" vertical="center" wrapText="1"/>
    </xf>
    <xf numFmtId="3" fontId="10" fillId="0" borderId="3" xfId="10" applyNumberFormat="1" applyFont="1" applyBorder="1" applyAlignment="1">
      <alignment vertical="center"/>
    </xf>
    <xf numFmtId="3" fontId="11" fillId="0" borderId="3" xfId="0" applyNumberFormat="1" applyFont="1" applyBorder="1" applyAlignment="1">
      <alignment horizontal="center" vertical="center" wrapText="1"/>
    </xf>
    <xf numFmtId="0" fontId="11" fillId="0" borderId="3" xfId="0" quotePrefix="1" applyFont="1" applyBorder="1" applyAlignment="1">
      <alignment horizontal="center" vertical="center" wrapText="1"/>
    </xf>
    <xf numFmtId="3" fontId="11" fillId="0" borderId="3" xfId="0" applyNumberFormat="1" applyFont="1" applyBorder="1" applyAlignment="1">
      <alignment vertical="center"/>
    </xf>
    <xf numFmtId="3" fontId="11" fillId="0" borderId="3" xfId="10" applyNumberFormat="1" applyFont="1" applyBorder="1" applyAlignment="1">
      <alignment vertical="center"/>
    </xf>
    <xf numFmtId="167" fontId="11" fillId="0" borderId="3" xfId="10" applyNumberFormat="1" applyFont="1" applyBorder="1" applyAlignment="1">
      <alignment vertical="center"/>
    </xf>
    <xf numFmtId="3" fontId="12" fillId="0" borderId="3" xfId="10" applyNumberFormat="1" applyFont="1" applyBorder="1" applyAlignment="1">
      <alignment vertical="center"/>
    </xf>
    <xf numFmtId="167" fontId="12" fillId="0" borderId="3" xfId="10" applyNumberFormat="1" applyFont="1" applyBorder="1" applyAlignment="1">
      <alignment vertical="center"/>
    </xf>
    <xf numFmtId="3" fontId="10" fillId="0" borderId="3" xfId="0" applyNumberFormat="1" applyFont="1" applyBorder="1" applyAlignment="1">
      <alignment vertical="center" wrapText="1"/>
    </xf>
    <xf numFmtId="169" fontId="10" fillId="0" borderId="3" xfId="1" applyNumberFormat="1" applyFont="1" applyFill="1" applyBorder="1" applyAlignment="1">
      <alignment vertical="center"/>
    </xf>
    <xf numFmtId="167" fontId="10" fillId="0" borderId="3" xfId="10" applyNumberFormat="1" applyFont="1" applyBorder="1" applyAlignment="1">
      <alignment vertical="center"/>
    </xf>
    <xf numFmtId="166" fontId="10" fillId="0" borderId="3" xfId="0" applyNumberFormat="1" applyFont="1" applyBorder="1" applyAlignment="1">
      <alignment horizontal="center" vertical="center" wrapText="1"/>
    </xf>
    <xf numFmtId="166" fontId="10" fillId="0" borderId="3" xfId="0" applyNumberFormat="1" applyFont="1" applyBorder="1" applyAlignment="1">
      <alignment horizontal="left" vertical="center" wrapText="1"/>
    </xf>
    <xf numFmtId="4" fontId="10" fillId="0" borderId="3" xfId="0" applyNumberFormat="1" applyFont="1" applyBorder="1" applyAlignment="1">
      <alignment vertical="center" wrapText="1"/>
    </xf>
    <xf numFmtId="168" fontId="10" fillId="0" borderId="3" xfId="1" applyNumberFormat="1" applyFont="1" applyFill="1" applyBorder="1" applyAlignment="1">
      <alignment vertical="center"/>
    </xf>
    <xf numFmtId="172" fontId="10" fillId="0" borderId="7" xfId="0" applyNumberFormat="1" applyFont="1" applyBorder="1" applyAlignment="1">
      <alignment horizontal="right" vertical="top" wrapText="1"/>
    </xf>
    <xf numFmtId="172" fontId="10" fillId="0" borderId="7" xfId="10" applyNumberFormat="1" applyFont="1" applyBorder="1" applyAlignment="1">
      <alignment horizontal="right" vertical="top" wrapText="1"/>
    </xf>
    <xf numFmtId="166" fontId="10" fillId="0" borderId="3" xfId="0" applyNumberFormat="1" applyFont="1" applyBorder="1" applyAlignment="1">
      <alignment horizontal="right" vertical="center" wrapText="1"/>
    </xf>
    <xf numFmtId="174" fontId="10" fillId="0" borderId="7" xfId="0" applyNumberFormat="1" applyFont="1" applyBorder="1" applyAlignment="1">
      <alignment horizontal="right" vertical="top" wrapText="1"/>
    </xf>
    <xf numFmtId="174" fontId="10" fillId="0" borderId="7" xfId="10" applyNumberFormat="1" applyFont="1" applyBorder="1" applyAlignment="1">
      <alignment horizontal="right" vertical="top" wrapText="1"/>
    </xf>
    <xf numFmtId="172" fontId="10" fillId="0" borderId="3" xfId="0" applyNumberFormat="1" applyFont="1" applyBorder="1" applyAlignment="1">
      <alignment horizontal="right" wrapText="1"/>
    </xf>
    <xf numFmtId="172" fontId="10" fillId="0" borderId="3" xfId="10" applyNumberFormat="1" applyFont="1" applyBorder="1" applyAlignment="1">
      <alignment horizontal="right" wrapText="1"/>
    </xf>
    <xf numFmtId="3" fontId="12" fillId="0" borderId="7" xfId="0" applyNumberFormat="1" applyFont="1" applyBorder="1" applyAlignment="1">
      <alignment horizontal="right" vertical="top" wrapText="1"/>
    </xf>
    <xf numFmtId="3" fontId="12" fillId="0" borderId="7" xfId="10" applyNumberFormat="1" applyFont="1" applyBorder="1" applyAlignment="1">
      <alignment horizontal="right" vertical="top" wrapText="1"/>
    </xf>
    <xf numFmtId="169" fontId="10" fillId="0" borderId="3" xfId="1" applyNumberFormat="1" applyFont="1" applyFill="1" applyBorder="1" applyAlignment="1">
      <alignment horizontal="right" vertical="center"/>
    </xf>
    <xf numFmtId="1" fontId="10" fillId="0" borderId="7" xfId="10" applyNumberFormat="1" applyFont="1" applyBorder="1" applyAlignment="1">
      <alignment horizontal="right" vertical="top" wrapText="1"/>
    </xf>
    <xf numFmtId="171" fontId="10" fillId="0" borderId="7" xfId="10" applyNumberFormat="1" applyFont="1" applyBorder="1" applyAlignment="1">
      <alignment horizontal="right" vertical="top" wrapText="1"/>
    </xf>
    <xf numFmtId="167" fontId="10" fillId="0" borderId="3" xfId="0" applyNumberFormat="1" applyFont="1" applyBorder="1" applyAlignment="1">
      <alignment vertical="center" wrapText="1"/>
    </xf>
    <xf numFmtId="171" fontId="10" fillId="0" borderId="7" xfId="0" applyNumberFormat="1" applyFont="1" applyBorder="1" applyAlignment="1">
      <alignment horizontal="right" vertical="top" wrapText="1"/>
    </xf>
    <xf numFmtId="171" fontId="10" fillId="0" borderId="7" xfId="0" applyNumberFormat="1" applyFont="1" applyBorder="1" applyAlignment="1">
      <alignment horizontal="right" vertical="center" wrapText="1"/>
    </xf>
    <xf numFmtId="172" fontId="10" fillId="0" borderId="7" xfId="0" applyNumberFormat="1" applyFont="1" applyBorder="1" applyAlignment="1">
      <alignment horizontal="right" vertical="center" wrapText="1"/>
    </xf>
    <xf numFmtId="172" fontId="10" fillId="0" borderId="7" xfId="10" applyNumberFormat="1" applyFont="1" applyBorder="1" applyAlignment="1">
      <alignment horizontal="right" vertical="center" wrapText="1"/>
    </xf>
    <xf numFmtId="3" fontId="10" fillId="0" borderId="7" xfId="0" applyNumberFormat="1" applyFont="1" applyBorder="1" applyAlignment="1">
      <alignment horizontal="right" vertical="top" wrapText="1"/>
    </xf>
    <xf numFmtId="3" fontId="10" fillId="0" borderId="7" xfId="10" applyNumberFormat="1" applyFont="1" applyBorder="1" applyAlignment="1">
      <alignment horizontal="right" vertical="top" wrapText="1"/>
    </xf>
    <xf numFmtId="1" fontId="10" fillId="0" borderId="3" xfId="0" applyNumberFormat="1" applyFont="1" applyBorder="1" applyAlignment="1">
      <alignment vertical="center" wrapText="1"/>
    </xf>
    <xf numFmtId="166" fontId="10" fillId="0" borderId="3" xfId="0" applyNumberFormat="1" applyFont="1" applyBorder="1" applyAlignment="1">
      <alignment vertical="center" wrapText="1"/>
    </xf>
    <xf numFmtId="171" fontId="10" fillId="0" borderId="3" xfId="0" applyNumberFormat="1" applyFont="1" applyBorder="1" applyAlignment="1">
      <alignment horizontal="right" wrapText="1"/>
    </xf>
    <xf numFmtId="171" fontId="10" fillId="0" borderId="3" xfId="10" applyNumberFormat="1" applyFont="1" applyBorder="1" applyAlignment="1">
      <alignment horizontal="right" wrapText="1"/>
    </xf>
    <xf numFmtId="167" fontId="10" fillId="0" borderId="7" xfId="0" applyNumberFormat="1" applyFont="1" applyBorder="1" applyAlignment="1">
      <alignment horizontal="right" vertical="top" wrapText="1"/>
    </xf>
    <xf numFmtId="167" fontId="10" fillId="0" borderId="7" xfId="10" applyNumberFormat="1" applyFont="1" applyBorder="1" applyAlignment="1">
      <alignment horizontal="right" vertical="top" wrapText="1"/>
    </xf>
    <xf numFmtId="3" fontId="10" fillId="0" borderId="7" xfId="0" applyNumberFormat="1" applyFont="1" applyBorder="1" applyAlignment="1">
      <alignment horizontal="right" vertical="center" wrapText="1"/>
    </xf>
    <xf numFmtId="3" fontId="10" fillId="0" borderId="7" xfId="10" applyNumberFormat="1" applyFont="1" applyBorder="1" applyAlignment="1">
      <alignment horizontal="right" vertical="center" wrapText="1"/>
    </xf>
    <xf numFmtId="172" fontId="12" fillId="0" borderId="7" xfId="0" applyNumberFormat="1" applyFont="1" applyBorder="1" applyAlignment="1">
      <alignment horizontal="right" vertical="center" wrapText="1"/>
    </xf>
    <xf numFmtId="3" fontId="12" fillId="0" borderId="7" xfId="0" applyNumberFormat="1" applyFont="1" applyBorder="1" applyAlignment="1">
      <alignment horizontal="right" vertical="center" wrapText="1"/>
    </xf>
    <xf numFmtId="3" fontId="12" fillId="0" borderId="7" xfId="10" applyNumberFormat="1" applyFont="1" applyBorder="1" applyAlignment="1">
      <alignment horizontal="right" vertical="center" wrapText="1"/>
    </xf>
    <xf numFmtId="172" fontId="12" fillId="0" borderId="7" xfId="0" applyNumberFormat="1" applyFont="1" applyBorder="1" applyAlignment="1">
      <alignment horizontal="right" vertical="top" wrapText="1"/>
    </xf>
    <xf numFmtId="3" fontId="11" fillId="0" borderId="3" xfId="0" applyNumberFormat="1" applyFont="1" applyBorder="1" applyAlignment="1">
      <alignment vertical="center" wrapText="1"/>
    </xf>
    <xf numFmtId="172" fontId="11" fillId="0" borderId="7" xfId="0" applyNumberFormat="1" applyFont="1" applyBorder="1" applyAlignment="1">
      <alignment horizontal="right" vertical="center" wrapText="1"/>
    </xf>
    <xf numFmtId="172" fontId="11" fillId="0" borderId="7" xfId="10" applyNumberFormat="1" applyFont="1" applyBorder="1" applyAlignment="1">
      <alignment horizontal="right" vertical="center" wrapText="1"/>
    </xf>
    <xf numFmtId="172" fontId="12" fillId="0" borderId="7" xfId="10" applyNumberFormat="1" applyFont="1" applyBorder="1" applyAlignment="1">
      <alignment horizontal="right" vertical="center" wrapText="1"/>
    </xf>
    <xf numFmtId="172" fontId="12" fillId="0" borderId="8" xfId="0" applyNumberFormat="1" applyFont="1" applyBorder="1" applyAlignment="1">
      <alignment horizontal="right" vertical="top" wrapText="1"/>
    </xf>
    <xf numFmtId="3" fontId="12" fillId="0" borderId="3" xfId="0" applyNumberFormat="1" applyFont="1" applyBorder="1" applyAlignment="1">
      <alignment horizontal="right" vertical="top" wrapText="1"/>
    </xf>
    <xf numFmtId="3" fontId="12" fillId="0" borderId="3" xfId="10" applyNumberFormat="1" applyFont="1" applyBorder="1" applyAlignment="1">
      <alignment horizontal="right" vertical="top" wrapText="1"/>
    </xf>
    <xf numFmtId="0" fontId="12" fillId="0" borderId="3" xfId="0" applyFont="1" applyBorder="1" applyAlignment="1">
      <alignment horizontal="right" vertical="center" wrapText="1"/>
    </xf>
    <xf numFmtId="3" fontId="12" fillId="0" borderId="4" xfId="0" applyNumberFormat="1" applyFont="1" applyBorder="1" applyAlignment="1">
      <alignment horizontal="right" vertical="center" wrapText="1"/>
    </xf>
    <xf numFmtId="170" fontId="11" fillId="0" borderId="3" xfId="1" applyNumberFormat="1" applyFont="1" applyFill="1" applyBorder="1" applyAlignment="1">
      <alignment vertical="center"/>
    </xf>
    <xf numFmtId="170" fontId="12" fillId="0" borderId="3" xfId="1" applyNumberFormat="1" applyFont="1" applyFill="1" applyBorder="1"/>
    <xf numFmtId="170" fontId="10" fillId="0" borderId="3" xfId="1" applyNumberFormat="1" applyFont="1" applyFill="1" applyBorder="1"/>
    <xf numFmtId="0" fontId="12" fillId="2" borderId="3" xfId="0" applyFont="1" applyFill="1" applyBorder="1" applyAlignment="1">
      <alignment horizontal="center" vertical="center" wrapText="1"/>
    </xf>
    <xf numFmtId="0" fontId="12" fillId="2" borderId="3" xfId="0" applyFont="1" applyFill="1" applyBorder="1" applyAlignment="1">
      <alignment horizontal="left" vertical="center" wrapText="1"/>
    </xf>
    <xf numFmtId="3" fontId="12" fillId="2" borderId="3" xfId="0" applyNumberFormat="1" applyFont="1" applyFill="1" applyBorder="1" applyAlignment="1">
      <alignment vertical="center"/>
    </xf>
    <xf numFmtId="3" fontId="12" fillId="2" borderId="3" xfId="0" applyNumberFormat="1" applyFont="1" applyFill="1" applyBorder="1" applyAlignment="1">
      <alignment vertical="center" wrapText="1"/>
    </xf>
    <xf numFmtId="170" fontId="12" fillId="2" borderId="3" xfId="1" applyNumberFormat="1" applyFont="1" applyFill="1" applyBorder="1" applyAlignment="1">
      <alignment vertical="center"/>
    </xf>
    <xf numFmtId="0" fontId="10" fillId="2" borderId="3" xfId="0" applyFont="1" applyFill="1" applyBorder="1" applyAlignment="1">
      <alignment horizontal="left" vertical="center" wrapText="1"/>
    </xf>
    <xf numFmtId="0" fontId="10" fillId="2" borderId="3" xfId="0" applyFont="1" applyFill="1" applyBorder="1" applyAlignment="1">
      <alignment horizontal="center" vertical="center" wrapText="1"/>
    </xf>
    <xf numFmtId="3" fontId="10" fillId="2" borderId="3" xfId="0" applyNumberFormat="1" applyFont="1" applyFill="1" applyBorder="1" applyAlignment="1">
      <alignment vertical="center"/>
    </xf>
    <xf numFmtId="3" fontId="10" fillId="2" borderId="3" xfId="0" applyNumberFormat="1" applyFont="1" applyFill="1" applyBorder="1" applyAlignment="1">
      <alignment vertical="center" wrapText="1"/>
    </xf>
    <xf numFmtId="170" fontId="10" fillId="2" borderId="3" xfId="1" applyNumberFormat="1" applyFont="1" applyFill="1" applyBorder="1" applyAlignment="1">
      <alignment vertical="center"/>
    </xf>
    <xf numFmtId="170" fontId="10" fillId="0" borderId="3" xfId="1" applyNumberFormat="1" applyFont="1" applyFill="1" applyBorder="1" applyAlignment="1">
      <alignment horizontal="center" vertical="center"/>
    </xf>
    <xf numFmtId="170" fontId="12" fillId="0" borderId="2" xfId="1" applyNumberFormat="1" applyFont="1" applyFill="1" applyBorder="1"/>
    <xf numFmtId="3" fontId="12" fillId="0" borderId="2" xfId="0" applyNumberFormat="1" applyFont="1" applyBorder="1" applyAlignment="1">
      <alignment vertical="center"/>
    </xf>
    <xf numFmtId="167" fontId="12" fillId="0" borderId="3" xfId="0" applyNumberFormat="1" applyFont="1" applyBorder="1" applyAlignment="1">
      <alignment horizontal="right" vertical="center" wrapText="1"/>
    </xf>
    <xf numFmtId="167" fontId="10" fillId="0" borderId="3" xfId="0" applyNumberFormat="1" applyFont="1" applyBorder="1" applyAlignment="1">
      <alignment horizontal="right" vertical="center" wrapText="1"/>
    </xf>
    <xf numFmtId="3" fontId="10" fillId="0" borderId="4" xfId="0" applyNumberFormat="1" applyFont="1" applyBorder="1" applyAlignment="1">
      <alignment horizontal="right" vertical="center" wrapText="1"/>
    </xf>
    <xf numFmtId="1" fontId="10" fillId="0" borderId="3" xfId="0" applyNumberFormat="1" applyFont="1" applyBorder="1" applyAlignment="1">
      <alignment horizontal="right"/>
    </xf>
    <xf numFmtId="1" fontId="10" fillId="0" borderId="2" xfId="0" applyNumberFormat="1" applyFont="1" applyBorder="1" applyAlignment="1">
      <alignment horizontal="right"/>
    </xf>
    <xf numFmtId="3" fontId="10" fillId="0" borderId="2" xfId="0" applyNumberFormat="1" applyFont="1" applyBorder="1" applyAlignment="1">
      <alignment horizontal="right" vertical="center" wrapText="1"/>
    </xf>
    <xf numFmtId="175" fontId="12" fillId="0" borderId="3" xfId="1" applyNumberFormat="1" applyFont="1" applyFill="1" applyBorder="1" applyAlignment="1">
      <alignment vertical="center" wrapText="1"/>
    </xf>
    <xf numFmtId="0" fontId="12" fillId="0" borderId="3" xfId="0" applyFont="1" applyBorder="1"/>
    <xf numFmtId="0" fontId="10" fillId="0" borderId="3" xfId="0" applyFont="1" applyBorder="1"/>
    <xf numFmtId="3" fontId="10" fillId="0" borderId="3" xfId="0" applyNumberFormat="1" applyFont="1" applyBorder="1"/>
    <xf numFmtId="167" fontId="10" fillId="0" borderId="3" xfId="0" applyNumberFormat="1" applyFont="1" applyBorder="1" applyAlignment="1">
      <alignment horizontal="right" vertical="center"/>
    </xf>
    <xf numFmtId="0" fontId="11" fillId="0" borderId="2" xfId="6" applyFont="1" applyBorder="1" applyAlignment="1">
      <alignment horizontal="center" vertical="center" wrapText="1"/>
    </xf>
    <xf numFmtId="0" fontId="11" fillId="0" borderId="2" xfId="6" applyFont="1" applyBorder="1" applyAlignment="1">
      <alignment vertical="center"/>
    </xf>
    <xf numFmtId="0" fontId="10" fillId="0" borderId="2" xfId="0" applyFont="1" applyBorder="1" applyAlignment="1">
      <alignment horizontal="center" vertical="center" wrapText="1"/>
    </xf>
    <xf numFmtId="0" fontId="10" fillId="0" borderId="2" xfId="0" applyFont="1" applyBorder="1" applyAlignment="1">
      <alignment horizontal="right" vertical="center" wrapText="1"/>
    </xf>
    <xf numFmtId="167" fontId="10" fillId="0" borderId="2" xfId="0" applyNumberFormat="1" applyFont="1" applyBorder="1" applyAlignment="1">
      <alignment horizontal="center" vertical="center" wrapText="1"/>
    </xf>
    <xf numFmtId="167" fontId="10" fillId="0" borderId="2" xfId="0" applyNumberFormat="1" applyFont="1" applyBorder="1" applyAlignment="1">
      <alignment horizontal="right" vertical="center" wrapText="1"/>
    </xf>
    <xf numFmtId="0" fontId="10" fillId="0" borderId="2" xfId="6" applyFont="1" applyBorder="1" applyAlignment="1">
      <alignment horizontal="center" vertical="center" wrapText="1"/>
    </xf>
    <xf numFmtId="0" fontId="10" fillId="0" borderId="2" xfId="6" applyFont="1" applyBorder="1" applyAlignment="1">
      <alignment vertical="center"/>
    </xf>
    <xf numFmtId="0" fontId="10" fillId="0" borderId="2" xfId="6" applyFont="1" applyBorder="1" applyAlignment="1">
      <alignment horizontal="center" vertical="center"/>
    </xf>
    <xf numFmtId="0" fontId="10" fillId="0" borderId="2" xfId="0" applyFont="1" applyBorder="1" applyAlignment="1">
      <alignment vertical="center" wrapText="1"/>
    </xf>
    <xf numFmtId="0" fontId="10" fillId="0" borderId="3" xfId="6" applyFont="1" applyBorder="1" applyAlignment="1">
      <alignment horizontal="center" vertical="center"/>
    </xf>
    <xf numFmtId="0" fontId="10" fillId="0" borderId="3" xfId="6" applyFont="1" applyBorder="1" applyAlignment="1">
      <alignment vertical="center" wrapText="1"/>
    </xf>
    <xf numFmtId="166" fontId="10" fillId="0" borderId="4" xfId="0" applyNumberFormat="1" applyFont="1" applyBorder="1" applyAlignment="1">
      <alignment horizontal="right" vertical="center" wrapText="1"/>
    </xf>
    <xf numFmtId="1" fontId="10" fillId="0" borderId="4" xfId="0" applyNumberFormat="1" applyFont="1" applyBorder="1" applyAlignment="1">
      <alignment horizontal="right" vertical="center" wrapText="1"/>
    </xf>
    <xf numFmtId="167" fontId="10" fillId="0" borderId="4" xfId="0" applyNumberFormat="1" applyFont="1" applyBorder="1" applyAlignment="1">
      <alignment horizontal="right" vertical="center" wrapText="1"/>
    </xf>
    <xf numFmtId="0" fontId="11" fillId="0" borderId="3" xfId="6" applyFont="1" applyBorder="1" applyAlignment="1">
      <alignment horizontal="center" vertical="center" wrapText="1"/>
    </xf>
    <xf numFmtId="0" fontId="11" fillId="0" borderId="3" xfId="6" applyFont="1" applyBorder="1" applyAlignment="1">
      <alignment vertical="center"/>
    </xf>
    <xf numFmtId="0" fontId="10" fillId="0" borderId="4" xfId="0" applyFont="1" applyBorder="1" applyAlignment="1">
      <alignment horizontal="right" vertical="center" wrapText="1"/>
    </xf>
    <xf numFmtId="2" fontId="10" fillId="0" borderId="3" xfId="0" applyNumberFormat="1" applyFont="1" applyBorder="1" applyAlignment="1">
      <alignment horizontal="right" vertical="center" wrapText="1"/>
    </xf>
    <xf numFmtId="175" fontId="10" fillId="0" borderId="3" xfId="3" quotePrefix="1" applyNumberFormat="1" applyFont="1" applyFill="1" applyBorder="1" applyAlignment="1">
      <alignment horizontal="right" vertical="center"/>
    </xf>
    <xf numFmtId="166" fontId="10" fillId="0" borderId="3" xfId="3" quotePrefix="1" applyNumberFormat="1" applyFont="1" applyFill="1" applyBorder="1" applyAlignment="1">
      <alignment horizontal="right" vertical="center"/>
    </xf>
    <xf numFmtId="0" fontId="18" fillId="0" borderId="3" xfId="6" applyFont="1" applyBorder="1" applyAlignment="1">
      <alignment horizontal="center" vertical="center"/>
    </xf>
    <xf numFmtId="0" fontId="18" fillId="0" borderId="3" xfId="6" applyFont="1" applyBorder="1" applyAlignment="1">
      <alignment vertical="center" wrapText="1"/>
    </xf>
    <xf numFmtId="175" fontId="18" fillId="0" borderId="3" xfId="3" quotePrefix="1" applyNumberFormat="1" applyFont="1" applyFill="1" applyBorder="1" applyAlignment="1">
      <alignment horizontal="right" vertical="center"/>
    </xf>
    <xf numFmtId="3" fontId="10" fillId="0" borderId="3" xfId="0" applyNumberFormat="1" applyFont="1" applyBorder="1" applyAlignment="1">
      <alignment horizontal="center" vertical="center"/>
    </xf>
    <xf numFmtId="0" fontId="10" fillId="0" borderId="3" xfId="0" applyFont="1" applyBorder="1" applyAlignment="1">
      <alignment horizontal="right" vertical="center" wrapText="1"/>
    </xf>
    <xf numFmtId="0" fontId="11" fillId="0" borderId="3" xfId="6" applyFont="1" applyBorder="1" applyAlignment="1">
      <alignment vertical="center" wrapText="1"/>
    </xf>
    <xf numFmtId="0" fontId="11" fillId="0" borderId="3" xfId="0" applyFont="1" applyBorder="1" applyAlignment="1">
      <alignment horizontal="right" vertical="center" wrapText="1"/>
    </xf>
    <xf numFmtId="167" fontId="11" fillId="0" borderId="3" xfId="0" applyNumberFormat="1" applyFont="1" applyBorder="1" applyAlignment="1">
      <alignment horizontal="right" vertical="center" wrapText="1"/>
    </xf>
    <xf numFmtId="0" fontId="10" fillId="0" borderId="3" xfId="6" applyFont="1" applyBorder="1" applyAlignment="1">
      <alignment horizontal="center" vertical="center" wrapText="1"/>
    </xf>
    <xf numFmtId="0" fontId="10" fillId="0" borderId="3" xfId="6" applyFont="1" applyBorder="1" applyAlignment="1">
      <alignment horizontal="left" vertical="center" wrapText="1"/>
    </xf>
    <xf numFmtId="1" fontId="10" fillId="0" borderId="3" xfId="0" applyNumberFormat="1" applyFont="1" applyBorder="1" applyAlignment="1">
      <alignment horizontal="right" vertical="center" wrapText="1"/>
    </xf>
    <xf numFmtId="1" fontId="10" fillId="0" borderId="3" xfId="10" applyNumberFormat="1" applyFont="1" applyBorder="1" applyAlignment="1">
      <alignment horizontal="right" vertical="center" wrapText="1"/>
    </xf>
    <xf numFmtId="167" fontId="10" fillId="0" borderId="3" xfId="10" applyNumberFormat="1" applyFont="1" applyBorder="1" applyAlignment="1">
      <alignment horizontal="right" vertical="center"/>
    </xf>
    <xf numFmtId="0" fontId="10" fillId="0" borderId="4" xfId="6" applyFont="1" applyBorder="1" applyAlignment="1">
      <alignment horizontal="center" vertical="center" wrapText="1"/>
    </xf>
    <xf numFmtId="0" fontId="10" fillId="0" borderId="4" xfId="6" applyFont="1" applyBorder="1" applyAlignment="1">
      <alignment horizontal="left" vertical="center" wrapText="1"/>
    </xf>
    <xf numFmtId="166" fontId="18" fillId="0" borderId="4" xfId="0" applyNumberFormat="1" applyFont="1" applyBorder="1" applyAlignment="1">
      <alignment horizontal="right" vertical="center" wrapText="1"/>
    </xf>
    <xf numFmtId="167" fontId="10" fillId="0" borderId="3" xfId="10" applyNumberFormat="1" applyFont="1" applyBorder="1" applyAlignment="1">
      <alignment horizontal="center" vertical="center"/>
    </xf>
    <xf numFmtId="0" fontId="18" fillId="0" borderId="4" xfId="6" applyFont="1" applyBorder="1" applyAlignment="1">
      <alignment horizontal="center" vertical="center" wrapText="1"/>
    </xf>
    <xf numFmtId="0" fontId="18" fillId="0" borderId="4" xfId="6" applyFont="1" applyBorder="1" applyAlignment="1">
      <alignment horizontal="left" vertical="center" wrapText="1"/>
    </xf>
    <xf numFmtId="0" fontId="18" fillId="0" borderId="4" xfId="0" applyFont="1" applyBorder="1" applyAlignment="1">
      <alignment horizontal="right" vertical="center" wrapText="1"/>
    </xf>
    <xf numFmtId="1" fontId="18" fillId="0" borderId="4" xfId="0" applyNumberFormat="1" applyFont="1" applyBorder="1" applyAlignment="1">
      <alignment horizontal="right" vertical="center" wrapText="1"/>
    </xf>
    <xf numFmtId="167" fontId="18" fillId="0" borderId="4" xfId="0" applyNumberFormat="1" applyFont="1" applyBorder="1" applyAlignment="1">
      <alignment horizontal="right" vertical="center" wrapText="1"/>
    </xf>
    <xf numFmtId="2" fontId="18" fillId="0" borderId="4" xfId="0" applyNumberFormat="1" applyFont="1" applyBorder="1" applyAlignment="1">
      <alignment horizontal="right" vertical="center" wrapText="1"/>
    </xf>
    <xf numFmtId="0" fontId="10" fillId="0" borderId="5" xfId="6" applyFont="1" applyBorder="1" applyAlignment="1">
      <alignment horizontal="center" vertical="center"/>
    </xf>
    <xf numFmtId="0" fontId="10" fillId="0" borderId="5" xfId="6" applyFont="1" applyBorder="1" applyAlignment="1">
      <alignment vertical="center" wrapText="1"/>
    </xf>
    <xf numFmtId="166" fontId="11" fillId="0" borderId="5" xfId="0" applyNumberFormat="1" applyFont="1" applyBorder="1" applyAlignment="1">
      <alignment horizontal="right" vertical="center" wrapText="1"/>
    </xf>
    <xf numFmtId="167" fontId="11" fillId="0" borderId="5" xfId="0" applyNumberFormat="1" applyFont="1" applyBorder="1" applyAlignment="1">
      <alignment horizontal="right"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41" fillId="0" borderId="12" xfId="0" applyFont="1" applyBorder="1" applyAlignment="1">
      <alignment horizontal="left" wrapText="1"/>
    </xf>
    <xf numFmtId="49" fontId="3" fillId="0" borderId="11"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10" xfId="0" applyFont="1" applyBorder="1" applyAlignment="1">
      <alignment horizontal="center" vertical="top"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65" fontId="3"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11" fillId="0" borderId="1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46" fillId="0" borderId="0" xfId="0" applyFont="1" applyAlignment="1">
      <alignment horizontal="center" vertical="center" wrapText="1"/>
    </xf>
    <xf numFmtId="0" fontId="43" fillId="0" borderId="0" xfId="0" applyFont="1" applyAlignment="1">
      <alignment horizontal="center"/>
    </xf>
    <xf numFmtId="0" fontId="44" fillId="0" borderId="0" xfId="0" applyFont="1" applyAlignment="1">
      <alignment horizontal="center" vertical="center" wrapText="1"/>
    </xf>
    <xf numFmtId="0" fontId="11" fillId="0" borderId="1" xfId="0" applyFont="1" applyBorder="1" applyAlignment="1">
      <alignment horizontal="center" vertical="center" wrapText="1"/>
    </xf>
    <xf numFmtId="0" fontId="36" fillId="0" borderId="10" xfId="0" applyFont="1" applyBorder="1" applyAlignment="1">
      <alignment horizont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cellXfs>
  <cellStyles count="14">
    <cellStyle name="Comma" xfId="1" builtinId="3"/>
    <cellStyle name="Comma 2" xfId="2" xr:uid="{00000000-0005-0000-0000-000001000000}"/>
    <cellStyle name="Comma 2 2" xfId="12" xr:uid="{578AF8F4-AE6A-477D-9D96-85C5549AED15}"/>
    <cellStyle name="Comma 2 2 2 10" xfId="3" xr:uid="{00000000-0005-0000-0000-000002000000}"/>
    <cellStyle name="Comma 2 2 2 10 2" xfId="4" xr:uid="{00000000-0005-0000-0000-000003000000}"/>
    <cellStyle name="Comma 2 2 2 10 2 2" xfId="13" xr:uid="{BE2CE56B-FFCF-4155-9D5A-48E8D8DBD6E0}"/>
    <cellStyle name="Comma 3" xfId="11" xr:uid="{1747D514-2DAB-4DD3-96C1-CA318591E2F2}"/>
    <cellStyle name="Normal" xfId="0" builtinId="0"/>
    <cellStyle name="Normal 2" xfId="8" xr:uid="{00000000-0005-0000-0000-000005000000}"/>
    <cellStyle name="Normal 3" xfId="7" xr:uid="{00000000-0005-0000-0000-000006000000}"/>
    <cellStyle name="Normal 4" xfId="9" xr:uid="{00000000-0005-0000-0000-000007000000}"/>
    <cellStyle name="Normal 7" xfId="5" xr:uid="{00000000-0005-0000-0000-000008000000}"/>
    <cellStyle name="Normal 8" xfId="10" xr:uid="{00000000-0005-0000-0000-000009000000}"/>
    <cellStyle name="Normal_BIEU SO LIEU 5 NAM.Haxls" xfId="6" xr:uid="{00000000-0005-0000-0000-00000A000000}"/>
  </cellStyles>
  <dxfs count="4">
    <dxf>
      <numFmt numFmtId="2" formatCode="0.00"/>
    </dxf>
    <dxf>
      <numFmt numFmtId="2" formatCode="0.00"/>
    </dxf>
    <dxf>
      <numFmt numFmtId="2" formatCode="0.00"/>
    </dxf>
    <dxf>
      <numFmt numFmtId="2" formatCode="0.0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'GTSX hh.GTSX cđ'!$B$1</c:f>
              <c:strCache>
                <c:ptCount val="1"/>
                <c:pt idx="0">
                  <c:v>Values</c:v>
                </c:pt>
              </c:strCache>
            </c:strRef>
          </c:tx>
          <c:spPr>
            <a:ln w="28575" cap="rnd">
              <a:solidFill>
                <a:schemeClr val="accent1"/>
              </a:solidFill>
              <a:round/>
            </a:ln>
            <a:effectLst/>
          </c:spPr>
          <c:marker>
            <c:symbol val="none"/>
          </c:marker>
          <c:val>
            <c:numRef>
              <c:f>'GTSX hh.GTSX cđ'!$B$2:$B$7</c:f>
              <c:numCache>
                <c:formatCode>General</c:formatCode>
                <c:ptCount val="6"/>
                <c:pt idx="0">
                  <c:v>1.1825244831889274</c:v>
                </c:pt>
                <c:pt idx="1">
                  <c:v>1.1565776016234641</c:v>
                </c:pt>
                <c:pt idx="2">
                  <c:v>1.1971524598666778</c:v>
                </c:pt>
                <c:pt idx="3">
                  <c:v>1.2544907261598808</c:v>
                </c:pt>
              </c:numCache>
            </c:numRef>
          </c:val>
          <c:smooth val="0"/>
          <c:extLst>
            <c:ext xmlns:c16="http://schemas.microsoft.com/office/drawing/2014/chart" uri="{C3380CC4-5D6E-409C-BE32-E72D297353CC}">
              <c16:uniqueId val="{00000000-A0AD-4C18-B95B-2976E3EF588E}"/>
            </c:ext>
          </c:extLst>
        </c:ser>
        <c:ser>
          <c:idx val="1"/>
          <c:order val="1"/>
          <c:tx>
            <c:strRef>
              <c:f>'GTSX hh.GTSX cđ'!$C$1</c:f>
              <c:strCache>
                <c:ptCount val="1"/>
                <c:pt idx="0">
                  <c:v>Forecast</c:v>
                </c:pt>
              </c:strCache>
            </c:strRef>
          </c:tx>
          <c:spPr>
            <a:ln w="25400" cap="rnd">
              <a:solidFill>
                <a:schemeClr val="accent2"/>
              </a:solidFill>
              <a:round/>
            </a:ln>
            <a:effectLst/>
          </c:spPr>
          <c:marker>
            <c:symbol val="none"/>
          </c:marker>
          <c:cat>
            <c:numRef>
              <c:f>'GTSX hh.GTSX cđ'!$A$2:$A$7</c:f>
              <c:numCache>
                <c:formatCode>General</c:formatCode>
                <c:ptCount val="6"/>
                <c:pt idx="0">
                  <c:v>2017</c:v>
                </c:pt>
                <c:pt idx="1">
                  <c:v>2018</c:v>
                </c:pt>
                <c:pt idx="2">
                  <c:v>2019</c:v>
                </c:pt>
                <c:pt idx="3">
                  <c:v>2020</c:v>
                </c:pt>
                <c:pt idx="4">
                  <c:v>2021</c:v>
                </c:pt>
                <c:pt idx="5">
                  <c:v>2022</c:v>
                </c:pt>
              </c:numCache>
            </c:numRef>
          </c:cat>
          <c:val>
            <c:numRef>
              <c:f>'GTSX hh.GTSX cđ'!$C$2:$C$7</c:f>
              <c:numCache>
                <c:formatCode>General</c:formatCode>
                <c:ptCount val="6"/>
                <c:pt idx="3">
                  <c:v>1.2544907261598808</c:v>
                </c:pt>
                <c:pt idx="4">
                  <c:v>1.2800002399999999</c:v>
                </c:pt>
                <c:pt idx="5">
                  <c:v>1.3000522747258336</c:v>
                </c:pt>
              </c:numCache>
            </c:numRef>
          </c:val>
          <c:smooth val="0"/>
          <c:extLst>
            <c:ext xmlns:c16="http://schemas.microsoft.com/office/drawing/2014/chart" uri="{C3380CC4-5D6E-409C-BE32-E72D297353CC}">
              <c16:uniqueId val="{00000001-A0AD-4C18-B95B-2976E3EF588E}"/>
            </c:ext>
          </c:extLst>
        </c:ser>
        <c:ser>
          <c:idx val="2"/>
          <c:order val="2"/>
          <c:tx>
            <c:strRef>
              <c:f>'GTSX hh.GTSX cđ'!$D$1</c:f>
              <c:strCache>
                <c:ptCount val="1"/>
                <c:pt idx="0">
                  <c:v>Lower Confidence Bound</c:v>
                </c:pt>
              </c:strCache>
            </c:strRef>
          </c:tx>
          <c:spPr>
            <a:ln w="12700" cap="rnd">
              <a:solidFill>
                <a:srgbClr val="C0504D"/>
              </a:solidFill>
              <a:prstDash val="solid"/>
              <a:round/>
            </a:ln>
            <a:effectLst/>
          </c:spPr>
          <c:marker>
            <c:symbol val="none"/>
          </c:marker>
          <c:cat>
            <c:numRef>
              <c:f>'GTSX hh.GTSX cđ'!$A$2:$A$7</c:f>
              <c:numCache>
                <c:formatCode>General</c:formatCode>
                <c:ptCount val="6"/>
                <c:pt idx="0">
                  <c:v>2017</c:v>
                </c:pt>
                <c:pt idx="1">
                  <c:v>2018</c:v>
                </c:pt>
                <c:pt idx="2">
                  <c:v>2019</c:v>
                </c:pt>
                <c:pt idx="3">
                  <c:v>2020</c:v>
                </c:pt>
                <c:pt idx="4">
                  <c:v>2021</c:v>
                </c:pt>
                <c:pt idx="5">
                  <c:v>2022</c:v>
                </c:pt>
              </c:numCache>
            </c:numRef>
          </c:cat>
          <c:val>
            <c:numRef>
              <c:f>'GTSX hh.GTSX cđ'!$D$2:$D$7</c:f>
              <c:numCache>
                <c:formatCode>General</c:formatCode>
                <c:ptCount val="6"/>
                <c:pt idx="3" formatCode="0.00">
                  <c:v>1.2544907261598808</c:v>
                </c:pt>
                <c:pt idx="4" formatCode="0.00">
                  <c:v>1.2212406661612905</c:v>
                </c:pt>
                <c:pt idx="5" formatCode="0.00">
                  <c:v>1.2394700142529049</c:v>
                </c:pt>
              </c:numCache>
            </c:numRef>
          </c:val>
          <c:smooth val="0"/>
          <c:extLst>
            <c:ext xmlns:c16="http://schemas.microsoft.com/office/drawing/2014/chart" uri="{C3380CC4-5D6E-409C-BE32-E72D297353CC}">
              <c16:uniqueId val="{00000002-A0AD-4C18-B95B-2976E3EF588E}"/>
            </c:ext>
          </c:extLst>
        </c:ser>
        <c:ser>
          <c:idx val="3"/>
          <c:order val="3"/>
          <c:tx>
            <c:strRef>
              <c:f>'GTSX hh.GTSX cđ'!$E$1</c:f>
              <c:strCache>
                <c:ptCount val="1"/>
                <c:pt idx="0">
                  <c:v>Upper Confidence Bound</c:v>
                </c:pt>
              </c:strCache>
            </c:strRef>
          </c:tx>
          <c:spPr>
            <a:ln w="12700" cap="rnd">
              <a:solidFill>
                <a:srgbClr val="C0504D"/>
              </a:solidFill>
              <a:prstDash val="solid"/>
              <a:round/>
            </a:ln>
            <a:effectLst/>
          </c:spPr>
          <c:marker>
            <c:symbol val="none"/>
          </c:marker>
          <c:cat>
            <c:numRef>
              <c:f>'GTSX hh.GTSX cđ'!$A$2:$A$7</c:f>
              <c:numCache>
                <c:formatCode>General</c:formatCode>
                <c:ptCount val="6"/>
                <c:pt idx="0">
                  <c:v>2017</c:v>
                </c:pt>
                <c:pt idx="1">
                  <c:v>2018</c:v>
                </c:pt>
                <c:pt idx="2">
                  <c:v>2019</c:v>
                </c:pt>
                <c:pt idx="3">
                  <c:v>2020</c:v>
                </c:pt>
                <c:pt idx="4">
                  <c:v>2021</c:v>
                </c:pt>
                <c:pt idx="5">
                  <c:v>2022</c:v>
                </c:pt>
              </c:numCache>
            </c:numRef>
          </c:cat>
          <c:val>
            <c:numRef>
              <c:f>'GTSX hh.GTSX cđ'!$E$2:$E$7</c:f>
              <c:numCache>
                <c:formatCode>General</c:formatCode>
                <c:ptCount val="6"/>
                <c:pt idx="3" formatCode="0.00">
                  <c:v>1.2544907261598808</c:v>
                </c:pt>
                <c:pt idx="4" formatCode="0.00">
                  <c:v>1.3387598138387093</c:v>
                </c:pt>
                <c:pt idx="5" formatCode="0.00">
                  <c:v>1.3606345351987623</c:v>
                </c:pt>
              </c:numCache>
            </c:numRef>
          </c:val>
          <c:smooth val="0"/>
          <c:extLst>
            <c:ext xmlns:c16="http://schemas.microsoft.com/office/drawing/2014/chart" uri="{C3380CC4-5D6E-409C-BE32-E72D297353CC}">
              <c16:uniqueId val="{00000003-A0AD-4C18-B95B-2976E3EF588E}"/>
            </c:ext>
          </c:extLst>
        </c:ser>
        <c:dLbls>
          <c:showLegendKey val="0"/>
          <c:showVal val="0"/>
          <c:showCatName val="0"/>
          <c:showSerName val="0"/>
          <c:showPercent val="0"/>
          <c:showBubbleSize val="0"/>
        </c:dLbls>
        <c:smooth val="0"/>
        <c:axId val="217914368"/>
        <c:axId val="204699264"/>
      </c:lineChart>
      <c:catAx>
        <c:axId val="217914368"/>
        <c:scaling>
          <c:orientation val="minMax"/>
        </c:scaling>
        <c:delete val="0"/>
        <c:axPos val="b"/>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699264"/>
        <c:crosses val="autoZero"/>
        <c:auto val="1"/>
        <c:lblAlgn val="ctr"/>
        <c:lblOffset val="100"/>
        <c:noMultiLvlLbl val="0"/>
      </c:catAx>
      <c:valAx>
        <c:axId val="204699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7914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 gieo trong. Sdat'!$B$1</c:f>
              <c:strCache>
                <c:ptCount val="1"/>
                <c:pt idx="0">
                  <c:v>Values</c:v>
                </c:pt>
              </c:strCache>
            </c:strRef>
          </c:tx>
          <c:spPr>
            <a:ln w="28575" cap="rnd">
              <a:solidFill>
                <a:schemeClr val="accent1"/>
              </a:solidFill>
              <a:round/>
            </a:ln>
            <a:effectLst/>
          </c:spPr>
          <c:marker>
            <c:symbol val="none"/>
          </c:marker>
          <c:val>
            <c:numRef>
              <c:f>'S gieo trong. Sdat'!$B$2:$B$9</c:f>
              <c:numCache>
                <c:formatCode>General</c:formatCode>
                <c:ptCount val="8"/>
                <c:pt idx="0">
                  <c:v>1.5691971066610837</c:v>
                </c:pt>
                <c:pt idx="1">
                  <c:v>1.5582231465147518</c:v>
                </c:pt>
                <c:pt idx="2">
                  <c:v>1.5568484523407744</c:v>
                </c:pt>
                <c:pt idx="3">
                  <c:v>1.5764342573112367</c:v>
                </c:pt>
              </c:numCache>
            </c:numRef>
          </c:val>
          <c:smooth val="0"/>
          <c:extLst>
            <c:ext xmlns:c16="http://schemas.microsoft.com/office/drawing/2014/chart" uri="{C3380CC4-5D6E-409C-BE32-E72D297353CC}">
              <c16:uniqueId val="{00000000-0840-4DE8-9F64-521441668175}"/>
            </c:ext>
          </c:extLst>
        </c:ser>
        <c:ser>
          <c:idx val="1"/>
          <c:order val="1"/>
          <c:tx>
            <c:strRef>
              <c:f>'S gieo trong. Sdat'!$C$1</c:f>
              <c:strCache>
                <c:ptCount val="1"/>
                <c:pt idx="0">
                  <c:v>Forecast</c:v>
                </c:pt>
              </c:strCache>
            </c:strRef>
          </c:tx>
          <c:spPr>
            <a:ln w="25400" cap="rnd">
              <a:solidFill>
                <a:schemeClr val="accent2"/>
              </a:solidFill>
              <a:round/>
            </a:ln>
            <a:effectLst/>
          </c:spPr>
          <c:marker>
            <c:symbol val="none"/>
          </c:marker>
          <c:cat>
            <c:numRef>
              <c:f>'S gieo trong. Sdat'!$A$2:$A$9</c:f>
              <c:numCache>
                <c:formatCode>General</c:formatCode>
                <c:ptCount val="8"/>
                <c:pt idx="0">
                  <c:v>2015</c:v>
                </c:pt>
                <c:pt idx="1">
                  <c:v>2016</c:v>
                </c:pt>
                <c:pt idx="2">
                  <c:v>2017</c:v>
                </c:pt>
                <c:pt idx="3">
                  <c:v>2018</c:v>
                </c:pt>
                <c:pt idx="4">
                  <c:v>2019</c:v>
                </c:pt>
                <c:pt idx="5">
                  <c:v>2020</c:v>
                </c:pt>
                <c:pt idx="6">
                  <c:v>2021</c:v>
                </c:pt>
                <c:pt idx="7">
                  <c:v>2022</c:v>
                </c:pt>
              </c:numCache>
            </c:numRef>
          </c:cat>
          <c:val>
            <c:numRef>
              <c:f>'S gieo trong. Sdat'!$C$2:$C$9</c:f>
              <c:numCache>
                <c:formatCode>General</c:formatCode>
                <c:ptCount val="8"/>
                <c:pt idx="3">
                  <c:v>1.5764342573112367</c:v>
                </c:pt>
                <c:pt idx="4">
                  <c:v>1.5742618826823531</c:v>
                </c:pt>
                <c:pt idx="5">
                  <c:v>1.5768604351951312</c:v>
                </c:pt>
                <c:pt idx="6">
                  <c:v>1.579458987707909</c:v>
                </c:pt>
                <c:pt idx="7">
                  <c:v>1.5820575402206869</c:v>
                </c:pt>
              </c:numCache>
            </c:numRef>
          </c:val>
          <c:smooth val="0"/>
          <c:extLst>
            <c:ext xmlns:c16="http://schemas.microsoft.com/office/drawing/2014/chart" uri="{C3380CC4-5D6E-409C-BE32-E72D297353CC}">
              <c16:uniqueId val="{00000001-0840-4DE8-9F64-521441668175}"/>
            </c:ext>
          </c:extLst>
        </c:ser>
        <c:ser>
          <c:idx val="2"/>
          <c:order val="2"/>
          <c:tx>
            <c:strRef>
              <c:f>'S gieo trong. Sdat'!$D$1</c:f>
              <c:strCache>
                <c:ptCount val="1"/>
                <c:pt idx="0">
                  <c:v>Lower Confidence Bound</c:v>
                </c:pt>
              </c:strCache>
            </c:strRef>
          </c:tx>
          <c:spPr>
            <a:ln w="12700" cap="rnd">
              <a:solidFill>
                <a:srgbClr val="C0504D"/>
              </a:solidFill>
              <a:prstDash val="solid"/>
              <a:round/>
            </a:ln>
            <a:effectLst/>
          </c:spPr>
          <c:marker>
            <c:symbol val="none"/>
          </c:marker>
          <c:cat>
            <c:numRef>
              <c:f>'S gieo trong. Sdat'!$A$2:$A$9</c:f>
              <c:numCache>
                <c:formatCode>General</c:formatCode>
                <c:ptCount val="8"/>
                <c:pt idx="0">
                  <c:v>2015</c:v>
                </c:pt>
                <c:pt idx="1">
                  <c:v>2016</c:v>
                </c:pt>
                <c:pt idx="2">
                  <c:v>2017</c:v>
                </c:pt>
                <c:pt idx="3">
                  <c:v>2018</c:v>
                </c:pt>
                <c:pt idx="4">
                  <c:v>2019</c:v>
                </c:pt>
                <c:pt idx="5">
                  <c:v>2020</c:v>
                </c:pt>
                <c:pt idx="6">
                  <c:v>2021</c:v>
                </c:pt>
                <c:pt idx="7">
                  <c:v>2022</c:v>
                </c:pt>
              </c:numCache>
            </c:numRef>
          </c:cat>
          <c:val>
            <c:numRef>
              <c:f>'S gieo trong. Sdat'!$D$2:$D$9</c:f>
              <c:numCache>
                <c:formatCode>General</c:formatCode>
                <c:ptCount val="8"/>
                <c:pt idx="3" formatCode="0.00">
                  <c:v>1.5764342573112367</c:v>
                </c:pt>
                <c:pt idx="4" formatCode="0.00">
                  <c:v>1.5540297448285505</c:v>
                </c:pt>
                <c:pt idx="5" formatCode="0.00">
                  <c:v>1.5560007085955521</c:v>
                </c:pt>
                <c:pt idx="6" formatCode="0.00">
                  <c:v>1.5579852157243381</c:v>
                </c:pt>
                <c:pt idx="7" formatCode="0.00">
                  <c:v>1.5599821174842212</c:v>
                </c:pt>
              </c:numCache>
            </c:numRef>
          </c:val>
          <c:smooth val="0"/>
          <c:extLst>
            <c:ext xmlns:c16="http://schemas.microsoft.com/office/drawing/2014/chart" uri="{C3380CC4-5D6E-409C-BE32-E72D297353CC}">
              <c16:uniqueId val="{00000002-0840-4DE8-9F64-521441668175}"/>
            </c:ext>
          </c:extLst>
        </c:ser>
        <c:ser>
          <c:idx val="3"/>
          <c:order val="3"/>
          <c:tx>
            <c:strRef>
              <c:f>'S gieo trong. Sdat'!$E$1</c:f>
              <c:strCache>
                <c:ptCount val="1"/>
                <c:pt idx="0">
                  <c:v>Upper Confidence Bound</c:v>
                </c:pt>
              </c:strCache>
            </c:strRef>
          </c:tx>
          <c:spPr>
            <a:ln w="12700" cap="rnd">
              <a:solidFill>
                <a:srgbClr val="C0504D"/>
              </a:solidFill>
              <a:prstDash val="solid"/>
              <a:round/>
            </a:ln>
            <a:effectLst/>
          </c:spPr>
          <c:marker>
            <c:symbol val="none"/>
          </c:marker>
          <c:cat>
            <c:numRef>
              <c:f>'S gieo trong. Sdat'!$A$2:$A$9</c:f>
              <c:numCache>
                <c:formatCode>General</c:formatCode>
                <c:ptCount val="8"/>
                <c:pt idx="0">
                  <c:v>2015</c:v>
                </c:pt>
                <c:pt idx="1">
                  <c:v>2016</c:v>
                </c:pt>
                <c:pt idx="2">
                  <c:v>2017</c:v>
                </c:pt>
                <c:pt idx="3">
                  <c:v>2018</c:v>
                </c:pt>
                <c:pt idx="4">
                  <c:v>2019</c:v>
                </c:pt>
                <c:pt idx="5">
                  <c:v>2020</c:v>
                </c:pt>
                <c:pt idx="6">
                  <c:v>2021</c:v>
                </c:pt>
                <c:pt idx="7">
                  <c:v>2022</c:v>
                </c:pt>
              </c:numCache>
            </c:numRef>
          </c:cat>
          <c:val>
            <c:numRef>
              <c:f>'S gieo trong. Sdat'!$E$2:$E$9</c:f>
              <c:numCache>
                <c:formatCode>General</c:formatCode>
                <c:ptCount val="8"/>
                <c:pt idx="3" formatCode="0.00">
                  <c:v>1.5764342573112367</c:v>
                </c:pt>
                <c:pt idx="4" formatCode="0.00">
                  <c:v>1.5944940205361557</c:v>
                </c:pt>
                <c:pt idx="5" formatCode="0.00">
                  <c:v>1.5977201617947103</c:v>
                </c:pt>
                <c:pt idx="6" formatCode="0.00">
                  <c:v>1.60093275969148</c:v>
                </c:pt>
                <c:pt idx="7" formatCode="0.00">
                  <c:v>1.6041329629571526</c:v>
                </c:pt>
              </c:numCache>
            </c:numRef>
          </c:val>
          <c:smooth val="0"/>
          <c:extLst>
            <c:ext xmlns:c16="http://schemas.microsoft.com/office/drawing/2014/chart" uri="{C3380CC4-5D6E-409C-BE32-E72D297353CC}">
              <c16:uniqueId val="{00000003-0840-4DE8-9F64-521441668175}"/>
            </c:ext>
          </c:extLst>
        </c:ser>
        <c:dLbls>
          <c:showLegendKey val="0"/>
          <c:showVal val="0"/>
          <c:showCatName val="0"/>
          <c:showSerName val="0"/>
          <c:showPercent val="0"/>
          <c:showBubbleSize val="0"/>
        </c:dLbls>
        <c:smooth val="0"/>
        <c:axId val="218328576"/>
        <c:axId val="204700416"/>
      </c:lineChart>
      <c:catAx>
        <c:axId val="218328576"/>
        <c:scaling>
          <c:orientation val="minMax"/>
        </c:scaling>
        <c:delete val="0"/>
        <c:axPos val="b"/>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700416"/>
        <c:crosses val="autoZero"/>
        <c:auto val="1"/>
        <c:lblAlgn val="ctr"/>
        <c:lblOffset val="100"/>
        <c:noMultiLvlLbl val="0"/>
      </c:catAx>
      <c:valAx>
        <c:axId val="204700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328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219075</xdr:colOff>
      <xdr:row>3</xdr:row>
      <xdr:rowOff>266700</xdr:rowOff>
    </xdr:from>
    <xdr:to>
      <xdr:col>7</xdr:col>
      <xdr:colOff>695325</xdr:colOff>
      <xdr:row>3</xdr:row>
      <xdr:rowOff>266700</xdr:rowOff>
    </xdr:to>
    <xdr:sp macro="" textlink="">
      <xdr:nvSpPr>
        <xdr:cNvPr id="11479" name="Line 6">
          <a:extLst>
            <a:ext uri="{FF2B5EF4-FFF2-40B4-BE49-F238E27FC236}">
              <a16:creationId xmlns:a16="http://schemas.microsoft.com/office/drawing/2014/main" id="{00000000-0008-0000-0000-0000D72C0000}"/>
            </a:ext>
          </a:extLst>
        </xdr:cNvPr>
        <xdr:cNvSpPr>
          <a:spLocks noChangeShapeType="1"/>
        </xdr:cNvSpPr>
      </xdr:nvSpPr>
      <xdr:spPr bwMode="auto">
        <a:xfrm>
          <a:off x="7524750" y="1571625"/>
          <a:ext cx="476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200025</xdr:colOff>
      <xdr:row>3</xdr:row>
      <xdr:rowOff>266700</xdr:rowOff>
    </xdr:from>
    <xdr:to>
      <xdr:col>8</xdr:col>
      <xdr:colOff>714375</xdr:colOff>
      <xdr:row>3</xdr:row>
      <xdr:rowOff>266700</xdr:rowOff>
    </xdr:to>
    <xdr:sp macro="" textlink="">
      <xdr:nvSpPr>
        <xdr:cNvPr id="11480" name="Line 7">
          <a:extLst>
            <a:ext uri="{FF2B5EF4-FFF2-40B4-BE49-F238E27FC236}">
              <a16:creationId xmlns:a16="http://schemas.microsoft.com/office/drawing/2014/main" id="{00000000-0008-0000-0000-0000D82C0000}"/>
            </a:ext>
          </a:extLst>
        </xdr:cNvPr>
        <xdr:cNvSpPr>
          <a:spLocks noChangeShapeType="1"/>
        </xdr:cNvSpPr>
      </xdr:nvSpPr>
      <xdr:spPr bwMode="auto">
        <a:xfrm>
          <a:off x="8372475" y="1571625"/>
          <a:ext cx="514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266700</xdr:colOff>
      <xdr:row>1</xdr:row>
      <xdr:rowOff>238125</xdr:rowOff>
    </xdr:from>
    <xdr:to>
      <xdr:col>4</xdr:col>
      <xdr:colOff>419100</xdr:colOff>
      <xdr:row>1</xdr:row>
      <xdr:rowOff>238125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4610100" y="742950"/>
          <a:ext cx="11906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133350</xdr:colOff>
      <xdr:row>3</xdr:row>
      <xdr:rowOff>266700</xdr:rowOff>
    </xdr:from>
    <xdr:to>
      <xdr:col>9</xdr:col>
      <xdr:colOff>647700</xdr:colOff>
      <xdr:row>3</xdr:row>
      <xdr:rowOff>266700</xdr:rowOff>
    </xdr:to>
    <xdr:sp macro="" textlink="">
      <xdr:nvSpPr>
        <xdr:cNvPr id="5" name="Line 7">
          <a:extLst>
            <a:ext uri="{FF2B5EF4-FFF2-40B4-BE49-F238E27FC236}">
              <a16:creationId xmlns:a16="http://schemas.microsoft.com/office/drawing/2014/main" id="{00000000-0008-0000-0000-000005000000}"/>
            </a:ext>
          </a:extLst>
        </xdr:cNvPr>
        <xdr:cNvSpPr>
          <a:spLocks noChangeShapeType="1"/>
        </xdr:cNvSpPr>
      </xdr:nvSpPr>
      <xdr:spPr bwMode="auto">
        <a:xfrm>
          <a:off x="9172575" y="1571625"/>
          <a:ext cx="514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219075</xdr:colOff>
      <xdr:row>3</xdr:row>
      <xdr:rowOff>266700</xdr:rowOff>
    </xdr:from>
    <xdr:to>
      <xdr:col>7</xdr:col>
      <xdr:colOff>695325</xdr:colOff>
      <xdr:row>3</xdr:row>
      <xdr:rowOff>266700</xdr:rowOff>
    </xdr:to>
    <xdr:sp macro="" textlink="">
      <xdr:nvSpPr>
        <xdr:cNvPr id="2" name="Line 6">
          <a:extLst>
            <a:ext uri="{FF2B5EF4-FFF2-40B4-BE49-F238E27FC236}">
              <a16:creationId xmlns:a16="http://schemas.microsoft.com/office/drawing/2014/main" id="{CEB65A1C-7423-49B7-8421-5330C8924434}"/>
            </a:ext>
          </a:extLst>
        </xdr:cNvPr>
        <xdr:cNvSpPr>
          <a:spLocks noChangeShapeType="1"/>
        </xdr:cNvSpPr>
      </xdr:nvSpPr>
      <xdr:spPr bwMode="auto">
        <a:xfrm>
          <a:off x="7043824" y="1563485"/>
          <a:ext cx="476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200025</xdr:colOff>
      <xdr:row>3</xdr:row>
      <xdr:rowOff>266700</xdr:rowOff>
    </xdr:from>
    <xdr:to>
      <xdr:col>8</xdr:col>
      <xdr:colOff>714375</xdr:colOff>
      <xdr:row>3</xdr:row>
      <xdr:rowOff>266700</xdr:rowOff>
    </xdr:to>
    <xdr:sp macro="" textlink="">
      <xdr:nvSpPr>
        <xdr:cNvPr id="3" name="Line 7">
          <a:extLst>
            <a:ext uri="{FF2B5EF4-FFF2-40B4-BE49-F238E27FC236}">
              <a16:creationId xmlns:a16="http://schemas.microsoft.com/office/drawing/2014/main" id="{37A850DF-E2D6-4C2C-BF0B-A61D1C2386AF}"/>
            </a:ext>
          </a:extLst>
        </xdr:cNvPr>
        <xdr:cNvSpPr>
          <a:spLocks noChangeShapeType="1"/>
        </xdr:cNvSpPr>
      </xdr:nvSpPr>
      <xdr:spPr bwMode="auto">
        <a:xfrm>
          <a:off x="7806170" y="1563485"/>
          <a:ext cx="514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266700</xdr:colOff>
      <xdr:row>1</xdr:row>
      <xdr:rowOff>238125</xdr:rowOff>
    </xdr:from>
    <xdr:to>
      <xdr:col>4</xdr:col>
      <xdr:colOff>419100</xdr:colOff>
      <xdr:row>1</xdr:row>
      <xdr:rowOff>238125</xdr:rowOff>
    </xdr:to>
    <xdr:cxnSp macro="">
      <xdr:nvCxnSpPr>
        <xdr:cNvPr id="4" name="Straight Connector 3">
          <a:extLst>
            <a:ext uri="{FF2B5EF4-FFF2-40B4-BE49-F238E27FC236}">
              <a16:creationId xmlns:a16="http://schemas.microsoft.com/office/drawing/2014/main" id="{07964409-DD2C-4E67-8434-C16A286FA0D1}"/>
            </a:ext>
          </a:extLst>
        </xdr:cNvPr>
        <xdr:cNvCxnSpPr/>
      </xdr:nvCxnSpPr>
      <xdr:spPr>
        <a:xfrm>
          <a:off x="3666605" y="736889"/>
          <a:ext cx="100861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133350</xdr:colOff>
      <xdr:row>3</xdr:row>
      <xdr:rowOff>266700</xdr:rowOff>
    </xdr:from>
    <xdr:to>
      <xdr:col>9</xdr:col>
      <xdr:colOff>647700</xdr:colOff>
      <xdr:row>3</xdr:row>
      <xdr:rowOff>266700</xdr:rowOff>
    </xdr:to>
    <xdr:sp macro="" textlink="">
      <xdr:nvSpPr>
        <xdr:cNvPr id="5" name="Line 7">
          <a:extLst>
            <a:ext uri="{FF2B5EF4-FFF2-40B4-BE49-F238E27FC236}">
              <a16:creationId xmlns:a16="http://schemas.microsoft.com/office/drawing/2014/main" id="{E9793E66-B5F9-4CCB-BA75-8EC03E3577B1}"/>
            </a:ext>
          </a:extLst>
        </xdr:cNvPr>
        <xdr:cNvSpPr>
          <a:spLocks noChangeShapeType="1"/>
        </xdr:cNvSpPr>
      </xdr:nvSpPr>
      <xdr:spPr bwMode="auto">
        <a:xfrm>
          <a:off x="8520892" y="1563485"/>
          <a:ext cx="514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3</xdr:row>
      <xdr:rowOff>38100</xdr:rowOff>
    </xdr:from>
    <xdr:to>
      <xdr:col>8</xdr:col>
      <xdr:colOff>9525</xdr:colOff>
      <xdr:row>3</xdr:row>
      <xdr:rowOff>38100</xdr:rowOff>
    </xdr:to>
    <xdr:cxnSp macro="">
      <xdr:nvCxnSpPr>
        <xdr:cNvPr id="12328" name="Straight Connector 1">
          <a:extLst>
            <a:ext uri="{FF2B5EF4-FFF2-40B4-BE49-F238E27FC236}">
              <a16:creationId xmlns:a16="http://schemas.microsoft.com/office/drawing/2014/main" id="{00000000-0008-0000-0200-000028300000}"/>
            </a:ext>
          </a:extLst>
        </xdr:cNvPr>
        <xdr:cNvCxnSpPr>
          <a:cxnSpLocks noChangeShapeType="1"/>
        </xdr:cNvCxnSpPr>
      </xdr:nvCxnSpPr>
      <xdr:spPr bwMode="auto">
        <a:xfrm flipV="1">
          <a:off x="2895600" y="638175"/>
          <a:ext cx="95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538370</xdr:colOff>
      <xdr:row>3</xdr:row>
      <xdr:rowOff>53915</xdr:rowOff>
    </xdr:from>
    <xdr:to>
      <xdr:col>12</xdr:col>
      <xdr:colOff>115957</xdr:colOff>
      <xdr:row>3</xdr:row>
      <xdr:rowOff>53915</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453848" y="650263"/>
          <a:ext cx="125067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228600</xdr:colOff>
      <xdr:row>8</xdr:row>
      <xdr:rowOff>85725</xdr:rowOff>
    </xdr:from>
    <xdr:to>
      <xdr:col>15</xdr:col>
      <xdr:colOff>266700</xdr:colOff>
      <xdr:row>26</xdr:row>
      <xdr:rowOff>104775</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590550</xdr:colOff>
      <xdr:row>6</xdr:row>
      <xdr:rowOff>95250</xdr:rowOff>
    </xdr:from>
    <xdr:to>
      <xdr:col>16</xdr:col>
      <xdr:colOff>19050</xdr:colOff>
      <xdr:row>24</xdr:row>
      <xdr:rowOff>114300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My%20Drive\Vinh\Nam%202023\06.19.%20BC%20UTH%20nam%2023%20Kh%2024%20(Thang%207)%20Dl%2030.6\TK%20UTH%20nam%2022%20-%20XD%20KH%202023%20(DL%2012.7)\2.%20SNN%20tong%20hop\07.27.%20UTH%2022-KH%2023%20BC%20UBND\SNN%20BC\2.%20PL1,2%20NLTS%2022-%20KH23%20Update%20T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PL1. TH"/>
      <sheetName val="PL.2 TH"/>
      <sheetName val="PL2"/>
      <sheetName val="Sheet phu-GTSX"/>
      <sheetName val="GTSX hh.GTSX cđ"/>
      <sheetName val="S gieo trong. Sdat"/>
      <sheetName val="Sheet3"/>
    </sheetNames>
    <sheetDataSet>
      <sheetData sheetId="0"/>
      <sheetData sheetId="1"/>
      <sheetData sheetId="2">
        <row r="7">
          <cell r="I7">
            <v>26521297</v>
          </cell>
          <cell r="J7">
            <v>26157946.707977608</v>
          </cell>
          <cell r="K7">
            <v>27478338.856800001</v>
          </cell>
          <cell r="L7">
            <v>27478338.856800001</v>
          </cell>
        </row>
        <row r="198">
          <cell r="B198" t="str">
            <v>Số xã đạt chuẩn nông thôn mới nâng cao</v>
          </cell>
        </row>
      </sheetData>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7" totalsRowShown="0">
  <autoFilter ref="A1:E7" xr:uid="{00000000-0009-0000-0100-000001000000}"/>
  <tableColumns count="5">
    <tableColumn id="1" xr3:uid="{00000000-0010-0000-0000-000001000000}" name="Timeline"/>
    <tableColumn id="2" xr3:uid="{00000000-0010-0000-0000-000002000000}" name="Values"/>
    <tableColumn id="3" xr3:uid="{00000000-0010-0000-0000-000003000000}" name="Forecast"/>
    <tableColumn id="4" xr3:uid="{00000000-0010-0000-0000-000004000000}" name="Lower Confidence Bound" dataDxfId="3"/>
    <tableColumn id="5" xr3:uid="{00000000-0010-0000-0000-000005000000}" name="Upper Confidence Bound" dataDxfId="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E9" totalsRowShown="0">
  <autoFilter ref="A1:E9" xr:uid="{00000000-0009-0000-0100-000002000000}"/>
  <tableColumns count="5">
    <tableColumn id="1" xr3:uid="{00000000-0010-0000-0100-000001000000}" name="Timeline"/>
    <tableColumn id="2" xr3:uid="{00000000-0010-0000-0100-000002000000}" name="Values"/>
    <tableColumn id="3" xr3:uid="{00000000-0010-0000-0100-000003000000}" name="Forecast">
      <calculatedColumnFormula>_xlfn.FORECAST.ETS(A2,$B$2:$B$5,$A$2:$A$5,1,1)</calculatedColumnFormula>
    </tableColumn>
    <tableColumn id="4" xr3:uid="{00000000-0010-0000-0100-000004000000}" name="Lower Confidence Bound" dataDxfId="1">
      <calculatedColumnFormula>C2-_xlfn.FORECAST.ETS.CONFINT(A2,$B$2:$B$5,$A$2:$A$5,0.95,1,1)</calculatedColumnFormula>
    </tableColumn>
    <tableColumn id="5" xr3:uid="{00000000-0010-0000-0100-000005000000}" name="Upper Confidence Bound" dataDxfId="0">
      <calculatedColumnFormula>C2+_xlfn.FORECAST.ETS.CONFINT(A2,$B$2:$B$5,$A$2:$A$5,0.95,1,1)</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E4F22-2E9A-44EC-BE34-D49091A3BA3D}">
  <sheetPr codeName="Sheet1">
    <tabColor rgb="FFFF0000"/>
    <pageSetUpPr fitToPage="1"/>
  </sheetPr>
  <dimension ref="A1:J56"/>
  <sheetViews>
    <sheetView zoomScale="70" zoomScaleNormal="70" workbookViewId="0">
      <pane xSplit="2" ySplit="4" topLeftCell="C50" activePane="bottomRight" state="frozen"/>
      <selection pane="topRight" activeCell="C1" sqref="C1"/>
      <selection pane="bottomLeft" activeCell="A5" sqref="A5"/>
      <selection pane="bottomRight" activeCell="M12" sqref="M12"/>
    </sheetView>
  </sheetViews>
  <sheetFormatPr defaultColWidth="9.28515625" defaultRowHeight="25.15" customHeight="1" x14ac:dyDescent="0.2"/>
  <cols>
    <col min="1" max="1" width="3.85546875" style="4" bestFit="1" customWidth="1"/>
    <col min="2" max="2" width="33.42578125" style="1" customWidth="1"/>
    <col min="3" max="3" width="13.85546875" style="5" bestFit="1" customWidth="1"/>
    <col min="4" max="7" width="12.85546875" style="6" bestFit="1" customWidth="1"/>
    <col min="8" max="10" width="11.7109375" style="1" bestFit="1" customWidth="1"/>
    <col min="11" max="16384" width="9.28515625" style="1"/>
  </cols>
  <sheetData>
    <row r="1" spans="1:10" ht="39.75" customHeight="1" x14ac:dyDescent="0.2">
      <c r="A1" s="291" t="s">
        <v>328</v>
      </c>
      <c r="B1" s="291"/>
      <c r="C1" s="291"/>
      <c r="D1" s="291"/>
      <c r="E1" s="291"/>
      <c r="F1" s="291"/>
      <c r="G1" s="291"/>
      <c r="H1" s="291"/>
      <c r="I1" s="291"/>
      <c r="J1" s="291"/>
    </row>
    <row r="2" spans="1:10" ht="30.75" customHeight="1" x14ac:dyDescent="0.2">
      <c r="A2" s="292" t="s">
        <v>344</v>
      </c>
      <c r="B2" s="292"/>
      <c r="C2" s="292"/>
      <c r="D2" s="292"/>
      <c r="E2" s="292"/>
      <c r="F2" s="292"/>
      <c r="G2" s="292"/>
      <c r="H2" s="292"/>
      <c r="I2" s="292"/>
      <c r="J2" s="292"/>
    </row>
    <row r="3" spans="1:10" ht="32.25" customHeight="1" x14ac:dyDescent="0.2">
      <c r="A3" s="294" t="s">
        <v>0</v>
      </c>
      <c r="B3" s="294" t="s">
        <v>1</v>
      </c>
      <c r="C3" s="295" t="s">
        <v>2</v>
      </c>
      <c r="D3" s="293" t="s">
        <v>346</v>
      </c>
      <c r="E3" s="288" t="s">
        <v>324</v>
      </c>
      <c r="F3" s="293" t="s">
        <v>347</v>
      </c>
      <c r="G3" s="288" t="s">
        <v>348</v>
      </c>
      <c r="H3" s="290" t="s">
        <v>31</v>
      </c>
      <c r="I3" s="290"/>
      <c r="J3" s="290"/>
    </row>
    <row r="4" spans="1:10" ht="40.700000000000003" customHeight="1" x14ac:dyDescent="0.2">
      <c r="A4" s="294"/>
      <c r="B4" s="294"/>
      <c r="C4" s="296"/>
      <c r="D4" s="293"/>
      <c r="E4" s="289"/>
      <c r="F4" s="293"/>
      <c r="G4" s="289"/>
      <c r="H4" s="2" t="s">
        <v>349</v>
      </c>
      <c r="I4" s="2" t="s">
        <v>350</v>
      </c>
      <c r="J4" s="2" t="s">
        <v>351</v>
      </c>
    </row>
    <row r="5" spans="1:10" s="3" customFormat="1" ht="25.15" hidden="1" customHeight="1" x14ac:dyDescent="0.2">
      <c r="A5" s="7" t="s">
        <v>3</v>
      </c>
      <c r="B5" s="8" t="s">
        <v>13</v>
      </c>
      <c r="C5" s="9"/>
      <c r="D5" s="10"/>
      <c r="E5" s="10"/>
      <c r="F5" s="10"/>
      <c r="G5" s="10"/>
      <c r="H5" s="11"/>
      <c r="I5" s="11"/>
      <c r="J5" s="14"/>
    </row>
    <row r="6" spans="1:10" ht="33.75" hidden="1" customHeight="1" x14ac:dyDescent="0.2">
      <c r="A6" s="12"/>
      <c r="B6" s="13" t="s">
        <v>5</v>
      </c>
      <c r="C6" s="9" t="s">
        <v>4</v>
      </c>
      <c r="D6" s="30">
        <f>'PL.2 TH (chi tiet)'!I7/1000</f>
        <v>26521.296999999999</v>
      </c>
      <c r="E6" s="30">
        <f>'PL.2 TH (chi tiet)'!J7/1000</f>
        <v>26157.946707977608</v>
      </c>
      <c r="F6" s="30">
        <f>'PL.2 TH (chi tiet)'!K7/1000</f>
        <v>28180.090686837888</v>
      </c>
      <c r="G6" s="30">
        <f>'PL.2 TH (chi tiet)'!M7/1000</f>
        <v>28180.090686837888</v>
      </c>
      <c r="H6" s="88">
        <f t="shared" ref="H6:H46" si="0">IFERROR(F6/E6*100,"")</f>
        <v>107.73051494230459</v>
      </c>
      <c r="I6" s="88">
        <f t="shared" ref="I6:I46" si="1">IFERROR(F6/D6*100,"")</f>
        <v>106.2545722663484</v>
      </c>
      <c r="J6" s="88">
        <f>IFERROR(G6/F6*100,"")</f>
        <v>100</v>
      </c>
    </row>
    <row r="7" spans="1:10" ht="25.15" customHeight="1" x14ac:dyDescent="0.2">
      <c r="A7" s="7" t="s">
        <v>3</v>
      </c>
      <c r="B7" s="14" t="s">
        <v>8</v>
      </c>
      <c r="C7" s="15"/>
      <c r="D7" s="16"/>
      <c r="E7" s="16"/>
      <c r="F7" s="89"/>
      <c r="G7" s="89"/>
      <c r="H7" s="88" t="str">
        <f t="shared" si="0"/>
        <v/>
      </c>
      <c r="I7" s="88" t="str">
        <f t="shared" si="1"/>
        <v/>
      </c>
      <c r="J7" s="88" t="str">
        <f t="shared" ref="J7:J52" si="2">IFERROR(G7/F7*100,"")</f>
        <v/>
      </c>
    </row>
    <row r="8" spans="1:10" s="3" customFormat="1" ht="25.15" customHeight="1" x14ac:dyDescent="0.2">
      <c r="A8" s="7"/>
      <c r="B8" s="17" t="s">
        <v>15</v>
      </c>
      <c r="C8" s="18" t="s">
        <v>20</v>
      </c>
      <c r="D8" s="19">
        <f>'PL.2 TH (chi tiet)'!J22</f>
        <v>385434.04000000004</v>
      </c>
      <c r="E8" s="19">
        <f>'PL.2 TH (chi tiet)'!K22</f>
        <v>389089.46599999996</v>
      </c>
      <c r="F8" s="19">
        <f>'PL.2 TH (chi tiet)'!M22</f>
        <v>301457.55</v>
      </c>
      <c r="G8" s="19">
        <f>'PL.2 TH (chi tiet)'!O22</f>
        <v>385640.3</v>
      </c>
      <c r="H8" s="128">
        <f>IFERROR(F8/E8*100,"")</f>
        <v>77.477695065638201</v>
      </c>
      <c r="I8" s="128">
        <f>IFERROR(F8/D8*100,"")</f>
        <v>78.212487407702753</v>
      </c>
      <c r="J8" s="128">
        <f>IFERROR(G8/F8*100,"")</f>
        <v>127.92524187899757</v>
      </c>
    </row>
    <row r="9" spans="1:10" ht="25.15" customHeight="1" x14ac:dyDescent="0.2">
      <c r="A9" s="12"/>
      <c r="B9" s="20" t="s">
        <v>27</v>
      </c>
      <c r="C9" s="15"/>
      <c r="D9" s="19"/>
      <c r="E9" s="19"/>
      <c r="F9" s="90"/>
      <c r="G9" s="90"/>
      <c r="H9" s="88" t="str">
        <f t="shared" si="0"/>
        <v/>
      </c>
      <c r="I9" s="88" t="str">
        <f t="shared" si="1"/>
        <v/>
      </c>
      <c r="J9" s="88" t="str">
        <f t="shared" si="2"/>
        <v/>
      </c>
    </row>
    <row r="10" spans="1:10" ht="25.15" customHeight="1" x14ac:dyDescent="0.2">
      <c r="A10" s="12"/>
      <c r="B10" s="13" t="s">
        <v>9</v>
      </c>
      <c r="C10" s="13"/>
      <c r="D10" s="19"/>
      <c r="E10" s="19"/>
      <c r="F10" s="90"/>
      <c r="G10" s="90"/>
      <c r="H10" s="88" t="str">
        <f t="shared" si="0"/>
        <v/>
      </c>
      <c r="I10" s="88" t="str">
        <f t="shared" si="1"/>
        <v/>
      </c>
      <c r="J10" s="88" t="str">
        <f t="shared" si="2"/>
        <v/>
      </c>
    </row>
    <row r="11" spans="1:10" ht="25.15" customHeight="1" x14ac:dyDescent="0.2">
      <c r="A11" s="12"/>
      <c r="B11" s="13" t="s">
        <v>21</v>
      </c>
      <c r="C11" s="15" t="s">
        <v>20</v>
      </c>
      <c r="D11" s="91">
        <f>'PL.2 TH (chi tiet)'!J25</f>
        <v>148078.83000000002</v>
      </c>
      <c r="E11" s="91">
        <f>'PL.2 TH (chi tiet)'!K25</f>
        <v>147696.54999999999</v>
      </c>
      <c r="F11" s="91">
        <f>'PL.2 TH (chi tiet)'!M25</f>
        <v>90089.5</v>
      </c>
      <c r="G11" s="91">
        <f>'PL.2 TH (chi tiet)'!O25</f>
        <v>146700</v>
      </c>
      <c r="H11" s="88">
        <f t="shared" si="0"/>
        <v>60.99634690180644</v>
      </c>
      <c r="I11" s="88">
        <f t="shared" si="1"/>
        <v>60.838878859321078</v>
      </c>
      <c r="J11" s="88">
        <f t="shared" si="2"/>
        <v>162.83806658933614</v>
      </c>
    </row>
    <row r="12" spans="1:10" ht="25.15" customHeight="1" x14ac:dyDescent="0.2">
      <c r="A12" s="12"/>
      <c r="B12" s="13" t="s">
        <v>22</v>
      </c>
      <c r="C12" s="15" t="s">
        <v>24</v>
      </c>
      <c r="D12" s="91">
        <f>'PL.2 TH (chi tiet)'!J26</f>
        <v>54.31256446313089</v>
      </c>
      <c r="E12" s="91">
        <f>'PL.2 TH (chi tiet)'!K26</f>
        <v>54.759128767733571</v>
      </c>
      <c r="F12" s="91">
        <f>'PL.2 TH (chi tiet)'!M26</f>
        <v>58</v>
      </c>
      <c r="G12" s="91">
        <f>'PL.2 TH (chi tiet)'!O26</f>
        <v>56</v>
      </c>
      <c r="H12" s="88">
        <f t="shared" si="0"/>
        <v>105.91841270158426</v>
      </c>
      <c r="I12" s="88">
        <f t="shared" si="1"/>
        <v>106.78928637106108</v>
      </c>
      <c r="J12" s="88">
        <f t="shared" si="2"/>
        <v>96.551724137931032</v>
      </c>
    </row>
    <row r="13" spans="1:10" ht="25.15" customHeight="1" x14ac:dyDescent="0.2">
      <c r="A13" s="12"/>
      <c r="B13" s="13" t="s">
        <v>23</v>
      </c>
      <c r="C13" s="15" t="s">
        <v>25</v>
      </c>
      <c r="D13" s="91">
        <f>'PL.2 TH (chi tiet)'!J27</f>
        <v>804254.10000000009</v>
      </c>
      <c r="E13" s="91">
        <f>'PL.2 TH (chi tiet)'!K27</f>
        <v>808773.44</v>
      </c>
      <c r="F13" s="91">
        <f>'PL.2 TH (chi tiet)'!M27</f>
        <v>522519.1</v>
      </c>
      <c r="G13" s="91">
        <f>'PL.2 TH (chi tiet)'!O27</f>
        <v>821520</v>
      </c>
      <c r="H13" s="88">
        <f t="shared" si="0"/>
        <v>64.606362444345351</v>
      </c>
      <c r="I13" s="88">
        <f t="shared" si="1"/>
        <v>64.969404570023315</v>
      </c>
      <c r="J13" s="88">
        <f t="shared" si="2"/>
        <v>157.2229608448763</v>
      </c>
    </row>
    <row r="14" spans="1:10" ht="25.15" customHeight="1" x14ac:dyDescent="0.2">
      <c r="A14" s="12"/>
      <c r="B14" s="13" t="s">
        <v>10</v>
      </c>
      <c r="C14" s="15"/>
      <c r="D14" s="21"/>
      <c r="E14" s="21"/>
      <c r="F14" s="92"/>
      <c r="G14" s="92"/>
      <c r="H14" s="88" t="str">
        <f t="shared" si="0"/>
        <v/>
      </c>
      <c r="I14" s="88" t="str">
        <f t="shared" si="1"/>
        <v/>
      </c>
      <c r="J14" s="88" t="str">
        <f t="shared" si="2"/>
        <v/>
      </c>
    </row>
    <row r="15" spans="1:10" ht="25.15" customHeight="1" x14ac:dyDescent="0.2">
      <c r="A15" s="12"/>
      <c r="B15" s="13" t="s">
        <v>21</v>
      </c>
      <c r="C15" s="15" t="s">
        <v>20</v>
      </c>
      <c r="D15" s="21">
        <f>'PL.2 TH (chi tiet)'!J28</f>
        <v>5068.7699999999995</v>
      </c>
      <c r="E15" s="21">
        <f>'PL.2 TH (chi tiet)'!K28</f>
        <v>5143.420000000001</v>
      </c>
      <c r="F15" s="21">
        <f>'PL.2 TH (chi tiet)'!M28</f>
        <v>3844</v>
      </c>
      <c r="G15" s="21">
        <f>'PL.2 TH (chi tiet)'!O28</f>
        <v>5100</v>
      </c>
      <c r="H15" s="88">
        <f t="shared" si="0"/>
        <v>74.736264975444342</v>
      </c>
      <c r="I15" s="88">
        <f t="shared" si="1"/>
        <v>75.836938744508046</v>
      </c>
      <c r="J15" s="88">
        <f t="shared" si="2"/>
        <v>132.67429760665971</v>
      </c>
    </row>
    <row r="16" spans="1:10" ht="25.15" customHeight="1" x14ac:dyDescent="0.2">
      <c r="A16" s="12"/>
      <c r="B16" s="13" t="s">
        <v>22</v>
      </c>
      <c r="C16" s="15" t="s">
        <v>24</v>
      </c>
      <c r="D16" s="21">
        <f>'PL.2 TH (chi tiet)'!J29</f>
        <v>58.413636049771455</v>
      </c>
      <c r="E16" s="21">
        <f>'PL.2 TH (chi tiet)'!K29</f>
        <v>58.769660778895371</v>
      </c>
      <c r="F16" s="21">
        <f>'PL.2 TH (chi tiet)'!M29</f>
        <v>61.5</v>
      </c>
      <c r="G16" s="21">
        <f>'PL.2 TH (chi tiet)'!O29</f>
        <v>59.5</v>
      </c>
      <c r="H16" s="88">
        <f t="shared" si="0"/>
        <v>104.64583117363358</v>
      </c>
      <c r="I16" s="88">
        <f t="shared" si="1"/>
        <v>105.28363608045012</v>
      </c>
      <c r="J16" s="88">
        <f t="shared" si="2"/>
        <v>96.747967479674799</v>
      </c>
    </row>
    <row r="17" spans="1:10" ht="25.15" customHeight="1" x14ac:dyDescent="0.2">
      <c r="A17" s="12"/>
      <c r="B17" s="13" t="s">
        <v>23</v>
      </c>
      <c r="C17" s="15" t="s">
        <v>25</v>
      </c>
      <c r="D17" s="21">
        <f>'PL.2 TH (chi tiet)'!J30</f>
        <v>29000</v>
      </c>
      <c r="E17" s="21">
        <f>'PL.2 TH (chi tiet)'!K30</f>
        <v>30227.704864338612</v>
      </c>
      <c r="F17" s="21">
        <f>'PL.2 TH (chi tiet)'!M30</f>
        <v>23640.6</v>
      </c>
      <c r="G17" s="21">
        <f>'PL.2 TH (chi tiet)'!O30</f>
        <v>30523.5</v>
      </c>
      <c r="H17" s="88">
        <f t="shared" si="0"/>
        <v>78.208385671682919</v>
      </c>
      <c r="I17" s="88">
        <f t="shared" si="1"/>
        <v>81.519310344827574</v>
      </c>
      <c r="J17" s="88">
        <f t="shared" si="2"/>
        <v>129.11474328062741</v>
      </c>
    </row>
    <row r="18" spans="1:10" ht="25.15" customHeight="1" x14ac:dyDescent="0.2">
      <c r="A18" s="12"/>
      <c r="B18" s="13" t="s">
        <v>11</v>
      </c>
      <c r="C18" s="15"/>
      <c r="D18" s="21"/>
      <c r="E18" s="21"/>
      <c r="F18" s="92"/>
      <c r="G18" s="92"/>
      <c r="H18" s="88" t="str">
        <f t="shared" si="0"/>
        <v/>
      </c>
      <c r="I18" s="88" t="str">
        <f t="shared" si="1"/>
        <v/>
      </c>
      <c r="J18" s="88" t="str">
        <f t="shared" si="2"/>
        <v/>
      </c>
    </row>
    <row r="19" spans="1:10" ht="25.15" customHeight="1" x14ac:dyDescent="0.2">
      <c r="A19" s="12"/>
      <c r="B19" s="13" t="s">
        <v>21</v>
      </c>
      <c r="C19" s="15" t="s">
        <v>20</v>
      </c>
      <c r="D19" s="21">
        <f>'PL.2 TH (chi tiet)'!J35</f>
        <v>59044.75</v>
      </c>
      <c r="E19" s="21">
        <f>'PL.2 TH (chi tiet)'!K35</f>
        <v>61695.73000000001</v>
      </c>
      <c r="F19" s="21">
        <f>'PL.2 TH (chi tiet)'!M35</f>
        <v>47200</v>
      </c>
      <c r="G19" s="21">
        <f>'PL.2 TH (chi tiet)'!O35</f>
        <v>61600</v>
      </c>
      <c r="H19" s="88">
        <f t="shared" si="0"/>
        <v>76.504484183913519</v>
      </c>
      <c r="I19" s="88">
        <f t="shared" si="1"/>
        <v>79.93936802171234</v>
      </c>
      <c r="J19" s="88">
        <f t="shared" si="2"/>
        <v>130.5084745762712</v>
      </c>
    </row>
    <row r="20" spans="1:10" ht="25.15" customHeight="1" x14ac:dyDescent="0.2">
      <c r="A20" s="12"/>
      <c r="B20" s="13" t="s">
        <v>22</v>
      </c>
      <c r="C20" s="15" t="s">
        <v>24</v>
      </c>
      <c r="D20" s="21">
        <f>'PL.2 TH (chi tiet)'!J36</f>
        <v>329.7563034816813</v>
      </c>
      <c r="E20" s="21">
        <f>'PL.2 TH (chi tiet)'!K36</f>
        <v>328.15135123020895</v>
      </c>
      <c r="F20" s="21">
        <f>'PL.2 TH (chi tiet)'!M36</f>
        <v>334</v>
      </c>
      <c r="G20" s="21">
        <f>'PL.2 TH (chi tiet)'!O36</f>
        <v>335</v>
      </c>
      <c r="H20" s="88">
        <f t="shared" si="0"/>
        <v>101.78230220532842</v>
      </c>
      <c r="I20" s="88">
        <f t="shared" si="1"/>
        <v>101.2869189985187</v>
      </c>
      <c r="J20" s="88">
        <f t="shared" si="2"/>
        <v>100.29940119760479</v>
      </c>
    </row>
    <row r="21" spans="1:10" ht="25.15" customHeight="1" x14ac:dyDescent="0.2">
      <c r="A21" s="12"/>
      <c r="B21" s="13" t="s">
        <v>23</v>
      </c>
      <c r="C21" s="15" t="s">
        <v>25</v>
      </c>
      <c r="D21" s="21">
        <f>'PL.2 TH (chi tiet)'!J37</f>
        <v>1947037.8500000003</v>
      </c>
      <c r="E21" s="21">
        <f>'PL.2 TH (chi tiet)'!K37</f>
        <v>2024553.7164634143</v>
      </c>
      <c r="F21" s="21">
        <f>'PL.2 TH (chi tiet)'!M37</f>
        <v>1576480</v>
      </c>
      <c r="G21" s="21">
        <f>'PL.2 TH (chi tiet)'!O37</f>
        <v>2063600</v>
      </c>
      <c r="H21" s="88">
        <f t="shared" si="0"/>
        <v>77.868025292698547</v>
      </c>
      <c r="I21" s="88">
        <f t="shared" si="1"/>
        <v>80.968122936079538</v>
      </c>
      <c r="J21" s="88">
        <f t="shared" si="2"/>
        <v>130.8992185121283</v>
      </c>
    </row>
    <row r="22" spans="1:10" ht="25.15" customHeight="1" x14ac:dyDescent="0.2">
      <c r="A22" s="12"/>
      <c r="B22" s="13" t="s">
        <v>26</v>
      </c>
      <c r="C22" s="15"/>
      <c r="D22" s="21"/>
      <c r="E22" s="21"/>
      <c r="F22" s="92"/>
      <c r="G22" s="92"/>
      <c r="H22" s="88" t="str">
        <f t="shared" si="0"/>
        <v/>
      </c>
      <c r="I22" s="88" t="str">
        <f t="shared" si="1"/>
        <v/>
      </c>
      <c r="J22" s="88" t="str">
        <f t="shared" si="2"/>
        <v/>
      </c>
    </row>
    <row r="23" spans="1:10" ht="25.15" customHeight="1" x14ac:dyDescent="0.2">
      <c r="A23" s="12"/>
      <c r="B23" s="13" t="s">
        <v>21</v>
      </c>
      <c r="C23" s="15" t="s">
        <v>20</v>
      </c>
      <c r="D23" s="21">
        <f>'PL.2 TH (chi tiet)'!J49</f>
        <v>6135.6</v>
      </c>
      <c r="E23" s="21">
        <f>'PL.2 TH (chi tiet)'!K49</f>
        <v>6255.1999999999989</v>
      </c>
      <c r="F23" s="21">
        <f>'PL.2 TH (chi tiet)'!M49</f>
        <v>5011.6000000000004</v>
      </c>
      <c r="G23" s="21">
        <f>'PL.2 TH (chi tiet)'!O49</f>
        <v>7000</v>
      </c>
      <c r="H23" s="88">
        <f t="shared" si="0"/>
        <v>80.118941041053858</v>
      </c>
      <c r="I23" s="88">
        <f t="shared" si="1"/>
        <v>81.680683225764398</v>
      </c>
      <c r="J23" s="88">
        <f t="shared" si="2"/>
        <v>139.67595179184292</v>
      </c>
    </row>
    <row r="24" spans="1:10" ht="25.15" customHeight="1" x14ac:dyDescent="0.2">
      <c r="A24" s="12"/>
      <c r="B24" s="13" t="s">
        <v>22</v>
      </c>
      <c r="C24" s="15" t="s">
        <v>24</v>
      </c>
      <c r="D24" s="21">
        <f>'PL.2 TH (chi tiet)'!J50</f>
        <v>737.42359345459272</v>
      </c>
      <c r="E24" s="21">
        <f>'PL.2 TH (chi tiet)'!K50</f>
        <v>746.29121910020433</v>
      </c>
      <c r="F24" s="21">
        <f>'PL.2 TH (chi tiet)'!M50</f>
        <v>754</v>
      </c>
      <c r="G24" s="21">
        <f>'PL.2 TH (chi tiet)'!O50</f>
        <v>760</v>
      </c>
      <c r="H24" s="88">
        <f t="shared" si="0"/>
        <v>101.03294541092016</v>
      </c>
      <c r="I24" s="88">
        <f t="shared" si="1"/>
        <v>102.24788123034581</v>
      </c>
      <c r="J24" s="88">
        <f t="shared" si="2"/>
        <v>100.79575596816977</v>
      </c>
    </row>
    <row r="25" spans="1:10" ht="25.15" customHeight="1" x14ac:dyDescent="0.2">
      <c r="A25" s="12"/>
      <c r="B25" s="13" t="s">
        <v>23</v>
      </c>
      <c r="C25" s="15" t="s">
        <v>25</v>
      </c>
      <c r="D25" s="21">
        <f>'PL.2 TH (chi tiet)'!J51</f>
        <v>452453.61999999994</v>
      </c>
      <c r="E25" s="21">
        <f>'PL.2 TH (chi tiet)'!K51</f>
        <v>466820.08337155974</v>
      </c>
      <c r="F25" s="21">
        <f>'PL.2 TH (chi tiet)'!M51</f>
        <v>377874.64</v>
      </c>
      <c r="G25" s="21">
        <f>'PL.2 TH (chi tiet)'!O51</f>
        <v>532000</v>
      </c>
      <c r="H25" s="88">
        <f t="shared" si="0"/>
        <v>80.946525965815255</v>
      </c>
      <c r="I25" s="88">
        <f t="shared" si="1"/>
        <v>83.516767972814549</v>
      </c>
      <c r="J25" s="88">
        <f t="shared" si="2"/>
        <v>140.78743151432442</v>
      </c>
    </row>
    <row r="26" spans="1:10" ht="25.15" customHeight="1" x14ac:dyDescent="0.2">
      <c r="A26" s="12"/>
      <c r="B26" s="13" t="s">
        <v>12</v>
      </c>
      <c r="C26" s="15"/>
      <c r="D26" s="21"/>
      <c r="E26" s="21"/>
      <c r="F26" s="92"/>
      <c r="G26" s="92"/>
      <c r="H26" s="88" t="str">
        <f t="shared" si="0"/>
        <v/>
      </c>
      <c r="I26" s="88" t="str">
        <f t="shared" si="1"/>
        <v/>
      </c>
      <c r="J26" s="88" t="str">
        <f t="shared" si="2"/>
        <v/>
      </c>
    </row>
    <row r="27" spans="1:10" ht="25.15" customHeight="1" x14ac:dyDescent="0.2">
      <c r="A27" s="12"/>
      <c r="B27" s="13" t="s">
        <v>21</v>
      </c>
      <c r="C27" s="15" t="s">
        <v>20</v>
      </c>
      <c r="D27" s="21">
        <f>'PL.2 TH (chi tiet)'!J52</f>
        <v>3636.1</v>
      </c>
      <c r="E27" s="21">
        <f>'PL.2 TH (chi tiet)'!K52</f>
        <v>3185.7899999999995</v>
      </c>
      <c r="F27" s="21">
        <f>'PL.2 TH (chi tiet)'!M52</f>
        <v>2211.5</v>
      </c>
      <c r="G27" s="21">
        <f>'PL.2 TH (chi tiet)'!O52</f>
        <v>3000</v>
      </c>
      <c r="H27" s="88">
        <f t="shared" si="0"/>
        <v>69.417632675097863</v>
      </c>
      <c r="I27" s="88">
        <f t="shared" si="1"/>
        <v>60.820659497813587</v>
      </c>
      <c r="J27" s="88">
        <f t="shared" si="2"/>
        <v>135.65453312231517</v>
      </c>
    </row>
    <row r="28" spans="1:10" ht="25.15" customHeight="1" x14ac:dyDescent="0.2">
      <c r="A28" s="12"/>
      <c r="B28" s="13" t="s">
        <v>22</v>
      </c>
      <c r="C28" s="15" t="s">
        <v>24</v>
      </c>
      <c r="D28" s="21">
        <f>'PL.2 TH (chi tiet)'!J53</f>
        <v>38.339722229861664</v>
      </c>
      <c r="E28" s="21">
        <f>'PL.2 TH (chi tiet)'!K53</f>
        <v>38.287080567143462</v>
      </c>
      <c r="F28" s="21">
        <f>'PL.2 TH (chi tiet)'!M53</f>
        <v>40</v>
      </c>
      <c r="G28" s="21">
        <f>'PL.2 TH (chi tiet)'!O53</f>
        <v>40</v>
      </c>
      <c r="H28" s="88">
        <f t="shared" si="0"/>
        <v>104.47388363772636</v>
      </c>
      <c r="I28" s="88">
        <f t="shared" si="1"/>
        <v>104.33043765988788</v>
      </c>
      <c r="J28" s="88">
        <f t="shared" si="2"/>
        <v>100</v>
      </c>
    </row>
    <row r="29" spans="1:10" ht="25.5" customHeight="1" x14ac:dyDescent="0.2">
      <c r="A29" s="12"/>
      <c r="B29" s="13" t="s">
        <v>23</v>
      </c>
      <c r="C29" s="15" t="s">
        <v>25</v>
      </c>
      <c r="D29" s="21">
        <f>'PL.2 TH (chi tiet)'!J54</f>
        <v>13940.706399999999</v>
      </c>
      <c r="E29" s="21">
        <f>'PL.2 TH (chi tiet)'!K54</f>
        <v>12197.459839999996</v>
      </c>
      <c r="F29" s="21">
        <f>'PL.2 TH (chi tiet)'!M54</f>
        <v>8846</v>
      </c>
      <c r="G29" s="21">
        <f>'PL.2 TH (chi tiet)'!O54</f>
        <v>12000</v>
      </c>
      <c r="H29" s="88">
        <f t="shared" si="0"/>
        <v>72.523296785046057</v>
      </c>
      <c r="I29" s="88">
        <f t="shared" si="1"/>
        <v>63.454460241699095</v>
      </c>
      <c r="J29" s="88">
        <f t="shared" si="2"/>
        <v>135.65453312231517</v>
      </c>
    </row>
    <row r="30" spans="1:10" ht="25.15" customHeight="1" x14ac:dyDescent="0.2">
      <c r="A30" s="12"/>
      <c r="B30" s="13" t="s">
        <v>19</v>
      </c>
      <c r="C30" s="15"/>
      <c r="D30" s="21"/>
      <c r="E30" s="21"/>
      <c r="F30" s="92"/>
      <c r="G30" s="92"/>
      <c r="H30" s="88" t="str">
        <f t="shared" si="0"/>
        <v/>
      </c>
      <c r="I30" s="88" t="str">
        <f t="shared" si="1"/>
        <v/>
      </c>
      <c r="J30" s="88" t="str">
        <f t="shared" si="2"/>
        <v/>
      </c>
    </row>
    <row r="31" spans="1:10" ht="25.15" customHeight="1" x14ac:dyDescent="0.2">
      <c r="A31" s="12"/>
      <c r="B31" s="13" t="s">
        <v>21</v>
      </c>
      <c r="C31" s="15" t="s">
        <v>20</v>
      </c>
      <c r="D31" s="22">
        <f>'PL.2 TH (chi tiet)'!J68</f>
        <v>101714.56</v>
      </c>
      <c r="E31" s="22">
        <f>'PL.2 TH (chi tiet)'!K68</f>
        <v>101227.70600000001</v>
      </c>
      <c r="F31" s="22">
        <f>'PL.2 TH (chi tiet)'!M68</f>
        <v>100900</v>
      </c>
      <c r="G31" s="22">
        <f>'PL.2 TH (chi tiet)'!O68</f>
        <v>98700</v>
      </c>
      <c r="H31" s="88">
        <f t="shared" si="0"/>
        <v>99.676268471400505</v>
      </c>
      <c r="I31" s="88">
        <f t="shared" si="1"/>
        <v>99.19917069886553</v>
      </c>
      <c r="J31" s="88">
        <f t="shared" si="2"/>
        <v>97.819623389494552</v>
      </c>
    </row>
    <row r="32" spans="1:10" ht="25.15" customHeight="1" x14ac:dyDescent="0.2">
      <c r="A32" s="12"/>
      <c r="B32" s="13" t="s">
        <v>22</v>
      </c>
      <c r="C32" s="15" t="s">
        <v>24</v>
      </c>
      <c r="D32" s="22">
        <f>'PL.2 TH (chi tiet)'!J69</f>
        <v>86642.4</v>
      </c>
      <c r="E32" s="22">
        <f>'PL.2 TH (chi tiet)'!K69</f>
        <v>86943.654199999903</v>
      </c>
      <c r="F32" s="22">
        <f>'PL.2 TH (chi tiet)'!M69</f>
        <v>87000</v>
      </c>
      <c r="G32" s="22">
        <f>'PL.2 TH (chi tiet)'!O69</f>
        <v>87150</v>
      </c>
      <c r="H32" s="88">
        <f t="shared" si="0"/>
        <v>100.06480725996458</v>
      </c>
      <c r="I32" s="88">
        <f t="shared" si="1"/>
        <v>100.41273094928118</v>
      </c>
      <c r="J32" s="88">
        <f t="shared" si="2"/>
        <v>100.17241379310344</v>
      </c>
    </row>
    <row r="33" spans="1:10" ht="25.15" customHeight="1" x14ac:dyDescent="0.2">
      <c r="A33" s="12"/>
      <c r="B33" s="13" t="s">
        <v>23</v>
      </c>
      <c r="C33" s="15" t="s">
        <v>25</v>
      </c>
      <c r="D33" s="22">
        <f>'PL.2 TH (chi tiet)'!J70</f>
        <v>21.2346</v>
      </c>
      <c r="E33" s="22">
        <f>'PL.2 TH (chi tiet)'!K70</f>
        <v>21.840001850439819</v>
      </c>
      <c r="F33" s="22">
        <f>'PL.2 TH (chi tiet)'!M70</f>
        <v>7.5798145701128323</v>
      </c>
      <c r="G33" s="22">
        <f>'PL.2 TH (chi tiet)'!O70</f>
        <v>21.45</v>
      </c>
      <c r="H33" s="88">
        <f t="shared" si="0"/>
        <v>34.706107728467011</v>
      </c>
      <c r="I33" s="88">
        <f t="shared" si="1"/>
        <v>35.695584424066531</v>
      </c>
      <c r="J33" s="88">
        <f t="shared" si="2"/>
        <v>282.98845310249715</v>
      </c>
    </row>
    <row r="34" spans="1:10" ht="25.15" customHeight="1" x14ac:dyDescent="0.2">
      <c r="A34" s="12"/>
      <c r="B34" s="17" t="s">
        <v>313</v>
      </c>
      <c r="C34" s="15"/>
      <c r="D34" s="22"/>
      <c r="E34" s="22"/>
      <c r="F34" s="93"/>
      <c r="G34" s="93"/>
      <c r="H34" s="88" t="str">
        <f t="shared" si="0"/>
        <v/>
      </c>
      <c r="I34" s="88" t="str">
        <f t="shared" si="1"/>
        <v/>
      </c>
      <c r="J34" s="88" t="str">
        <f t="shared" si="2"/>
        <v/>
      </c>
    </row>
    <row r="35" spans="1:10" ht="25.15" customHeight="1" x14ac:dyDescent="0.2">
      <c r="A35" s="12"/>
      <c r="B35" s="111" t="s">
        <v>314</v>
      </c>
      <c r="C35" s="15" t="s">
        <v>25</v>
      </c>
      <c r="D35" s="22">
        <f>'PL.2 TH (chi tiet)'!J148</f>
        <v>42300</v>
      </c>
      <c r="E35" s="22">
        <f>'PL.2 TH (chi tiet)'!K148</f>
        <v>48097</v>
      </c>
      <c r="F35" s="22">
        <f>'PL.2 TH (chi tiet)'!M148</f>
        <v>26000</v>
      </c>
      <c r="G35" s="22">
        <f>'PL.2 TH (chi tiet)'!O148</f>
        <v>78000</v>
      </c>
      <c r="H35" s="88">
        <f t="shared" si="0"/>
        <v>54.057425619061483</v>
      </c>
      <c r="I35" s="88">
        <f t="shared" si="1"/>
        <v>61.465721040189123</v>
      </c>
      <c r="J35" s="88">
        <f t="shared" si="2"/>
        <v>300</v>
      </c>
    </row>
    <row r="36" spans="1:10" ht="25.15" customHeight="1" x14ac:dyDescent="0.2">
      <c r="A36" s="12"/>
      <c r="B36" s="111" t="s">
        <v>315</v>
      </c>
      <c r="C36" s="15" t="s">
        <v>25</v>
      </c>
      <c r="D36" s="22">
        <f>'PL.2 TH (chi tiet)'!J149</f>
        <v>900</v>
      </c>
      <c r="E36" s="22">
        <f>'PL.2 TH (chi tiet)'!K149</f>
        <v>700</v>
      </c>
      <c r="F36" s="22">
        <f>'PL.2 TH (chi tiet)'!M149</f>
        <v>320</v>
      </c>
      <c r="G36" s="22">
        <f>'PL.2 TH (chi tiet)'!O149</f>
        <v>670</v>
      </c>
      <c r="H36" s="88">
        <f t="shared" si="0"/>
        <v>45.714285714285715</v>
      </c>
      <c r="I36" s="88">
        <f t="shared" si="1"/>
        <v>35.555555555555557</v>
      </c>
      <c r="J36" s="88">
        <f t="shared" si="2"/>
        <v>209.375</v>
      </c>
    </row>
    <row r="37" spans="1:10" ht="25.15" customHeight="1" x14ac:dyDescent="0.2">
      <c r="A37" s="12"/>
      <c r="B37" s="111" t="s">
        <v>316</v>
      </c>
      <c r="C37" s="15" t="s">
        <v>25</v>
      </c>
      <c r="D37" s="22">
        <f>'PL.2 TH (chi tiet)'!J150</f>
        <v>7500</v>
      </c>
      <c r="E37" s="22">
        <f>'PL.2 TH (chi tiet)'!K150</f>
        <v>7550</v>
      </c>
      <c r="F37" s="22">
        <f>'PL.2 TH (chi tiet)'!M150</f>
        <v>3700</v>
      </c>
      <c r="G37" s="22">
        <f>'PL.2 TH (chi tiet)'!O150</f>
        <v>7600</v>
      </c>
      <c r="H37" s="113">
        <f t="shared" si="0"/>
        <v>49.006622516556291</v>
      </c>
      <c r="I37" s="113">
        <f t="shared" si="1"/>
        <v>49.333333333333336</v>
      </c>
      <c r="J37" s="113">
        <f t="shared" si="2"/>
        <v>205.40540540540539</v>
      </c>
    </row>
    <row r="38" spans="1:10" ht="25.15" customHeight="1" x14ac:dyDescent="0.2">
      <c r="A38" s="12"/>
      <c r="B38" s="111" t="s">
        <v>317</v>
      </c>
      <c r="C38" s="15" t="s">
        <v>25</v>
      </c>
      <c r="D38" s="22">
        <f>'PL.2 TH (chi tiet)'!J152</f>
        <v>39900</v>
      </c>
      <c r="E38" s="22">
        <f>'PL.2 TH (chi tiet)'!K152</f>
        <v>49000</v>
      </c>
      <c r="F38" s="22">
        <f>'PL.2 TH (chi tiet)'!M152</f>
        <v>28650</v>
      </c>
      <c r="G38" s="22">
        <f>'PL.2 TH (chi tiet)'!O152</f>
        <v>62460</v>
      </c>
      <c r="H38" s="88">
        <f t="shared" si="0"/>
        <v>58.469387755102041</v>
      </c>
      <c r="I38" s="88">
        <f t="shared" si="1"/>
        <v>71.804511278195491</v>
      </c>
      <c r="J38" s="88">
        <f t="shared" si="2"/>
        <v>218.01047120418846</v>
      </c>
    </row>
    <row r="39" spans="1:10" ht="25.15" customHeight="1" x14ac:dyDescent="0.2">
      <c r="A39" s="12"/>
      <c r="B39" s="111" t="s">
        <v>318</v>
      </c>
      <c r="C39" s="15" t="s">
        <v>320</v>
      </c>
      <c r="D39" s="22">
        <f>'PL.2 TH (chi tiet)'!J155</f>
        <v>600000</v>
      </c>
      <c r="E39" s="22">
        <f>'PL.2 TH (chi tiet)'!K155</f>
        <v>650000</v>
      </c>
      <c r="F39" s="22">
        <f>'PL.2 TH (chi tiet)'!M155</f>
        <v>390000</v>
      </c>
      <c r="G39" s="22">
        <f>'PL.2 TH (chi tiet)'!O155</f>
        <v>900000</v>
      </c>
      <c r="H39" s="88">
        <f t="shared" si="0"/>
        <v>60</v>
      </c>
      <c r="I39" s="88">
        <f t="shared" si="1"/>
        <v>65</v>
      </c>
      <c r="J39" s="88">
        <f t="shared" si="2"/>
        <v>230.76923076923075</v>
      </c>
    </row>
    <row r="40" spans="1:10" ht="25.15" customHeight="1" x14ac:dyDescent="0.2">
      <c r="A40" s="12"/>
      <c r="B40" s="111" t="s">
        <v>319</v>
      </c>
      <c r="C40" s="15" t="s">
        <v>321</v>
      </c>
      <c r="D40" s="22">
        <f>'PL.2 TH (chi tiet)'!J154</f>
        <v>58600</v>
      </c>
      <c r="E40" s="22">
        <f>'PL.2 TH (chi tiet)'!K154</f>
        <v>51000</v>
      </c>
      <c r="F40" s="22">
        <f>'PL.2 TH (chi tiet)'!M154</f>
        <v>27500</v>
      </c>
      <c r="G40" s="22">
        <f>'PL.2 TH (chi tiet)'!O154</f>
        <v>55000</v>
      </c>
      <c r="H40" s="88">
        <f t="shared" si="0"/>
        <v>53.921568627450981</v>
      </c>
      <c r="I40" s="88">
        <f t="shared" si="1"/>
        <v>46.928327645051191</v>
      </c>
      <c r="J40" s="88">
        <f t="shared" si="2"/>
        <v>200</v>
      </c>
    </row>
    <row r="41" spans="1:10" ht="25.15" customHeight="1" x14ac:dyDescent="0.2">
      <c r="A41" s="7" t="s">
        <v>14</v>
      </c>
      <c r="B41" s="23" t="s">
        <v>16</v>
      </c>
      <c r="C41" s="15"/>
      <c r="D41" s="24"/>
      <c r="E41" s="24"/>
      <c r="F41" s="112"/>
      <c r="G41" s="94"/>
      <c r="H41" s="88" t="str">
        <f t="shared" si="0"/>
        <v/>
      </c>
      <c r="I41" s="88" t="str">
        <f t="shared" si="1"/>
        <v/>
      </c>
      <c r="J41" s="88" t="str">
        <f t="shared" si="2"/>
        <v/>
      </c>
    </row>
    <row r="42" spans="1:10" ht="33" customHeight="1" x14ac:dyDescent="0.2">
      <c r="A42" s="7"/>
      <c r="B42" s="25" t="s">
        <v>29</v>
      </c>
      <c r="C42" s="15" t="s">
        <v>6</v>
      </c>
      <c r="D42" s="26">
        <f>'PL.2 TH (chi tiet)'!J208</f>
        <v>99.2</v>
      </c>
      <c r="E42" s="26">
        <f>'PL.2 TH (chi tiet)'!K208</f>
        <v>99.4</v>
      </c>
      <c r="F42" s="26">
        <f>'PL.2 TH (chi tiet)'!M208</f>
        <v>99.6</v>
      </c>
      <c r="G42" s="26">
        <f>'PL.2 TH (chi tiet)'!O208</f>
        <v>99.8</v>
      </c>
      <c r="H42" s="88">
        <f t="shared" si="0"/>
        <v>100.20120724346076</v>
      </c>
      <c r="I42" s="88">
        <f t="shared" si="1"/>
        <v>100.4032258064516</v>
      </c>
      <c r="J42" s="88">
        <f t="shared" si="2"/>
        <v>100.20080321285141</v>
      </c>
    </row>
    <row r="43" spans="1:10" ht="48.75" customHeight="1" x14ac:dyDescent="0.2">
      <c r="A43" s="12"/>
      <c r="B43" s="25" t="s">
        <v>204</v>
      </c>
      <c r="C43" s="15" t="s">
        <v>6</v>
      </c>
      <c r="D43" s="26">
        <f>'PL.2 TH (chi tiet)'!J209</f>
        <v>64</v>
      </c>
      <c r="E43" s="26">
        <f>'PL.2 TH (chi tiet)'!K209</f>
        <v>66.2</v>
      </c>
      <c r="F43" s="26">
        <f>'PL.2 TH (chi tiet)'!M209</f>
        <v>68</v>
      </c>
      <c r="G43" s="26">
        <f>'PL.2 TH (chi tiet)'!O209</f>
        <v>70</v>
      </c>
      <c r="H43" s="88">
        <f t="shared" si="0"/>
        <v>102.71903323262839</v>
      </c>
      <c r="I43" s="88">
        <f t="shared" si="1"/>
        <v>106.25</v>
      </c>
      <c r="J43" s="88">
        <f t="shared" si="2"/>
        <v>102.94117647058823</v>
      </c>
    </row>
    <row r="44" spans="1:10" ht="28.15" customHeight="1" x14ac:dyDescent="0.2">
      <c r="A44" s="12"/>
      <c r="B44" s="123" t="s">
        <v>333</v>
      </c>
      <c r="C44" s="15" t="s">
        <v>330</v>
      </c>
      <c r="D44" s="124">
        <f>'PL.2 TH (chi tiet)'!J210</f>
        <v>4411</v>
      </c>
      <c r="E44" s="124">
        <f>'PL.2 TH (chi tiet)'!K210</f>
        <v>1245</v>
      </c>
      <c r="F44" s="124">
        <f>'PL.2 TH (chi tiet)'!M210</f>
        <v>2880</v>
      </c>
      <c r="G44" s="124">
        <f>'PL.2 TH (chi tiet)'!O210</f>
        <v>800</v>
      </c>
      <c r="H44" s="88">
        <f t="shared" si="0"/>
        <v>231.32530120481925</v>
      </c>
      <c r="I44" s="88">
        <f t="shared" si="1"/>
        <v>65.291317161641345</v>
      </c>
      <c r="J44" s="88">
        <f t="shared" si="2"/>
        <v>27.777777777777779</v>
      </c>
    </row>
    <row r="45" spans="1:10" ht="38.25" customHeight="1" x14ac:dyDescent="0.2">
      <c r="A45" s="12"/>
      <c r="B45" s="25" t="s">
        <v>30</v>
      </c>
      <c r="C45" s="15" t="s">
        <v>6</v>
      </c>
      <c r="D45" s="26">
        <f>'PL.2 TH (chi tiet)'!J211</f>
        <v>16.3</v>
      </c>
      <c r="E45" s="26">
        <f>'PL.2 TH (chi tiet)'!K211</f>
        <v>16.3</v>
      </c>
      <c r="F45" s="26">
        <f>'PL.2 TH (chi tiet)'!M211</f>
        <v>16.3</v>
      </c>
      <c r="G45" s="26">
        <f>'PL.2 TH (chi tiet)'!O211</f>
        <v>16.3</v>
      </c>
      <c r="H45" s="88">
        <f t="shared" si="0"/>
        <v>100</v>
      </c>
      <c r="I45" s="88">
        <f t="shared" si="1"/>
        <v>100</v>
      </c>
      <c r="J45" s="88">
        <f t="shared" si="2"/>
        <v>100</v>
      </c>
    </row>
    <row r="46" spans="1:10" ht="22.7" customHeight="1" x14ac:dyDescent="0.2">
      <c r="A46" s="12"/>
      <c r="B46" s="25" t="s">
        <v>322</v>
      </c>
      <c r="C46" s="15" t="s">
        <v>20</v>
      </c>
      <c r="D46" s="114">
        <v>66500</v>
      </c>
      <c r="E46" s="114">
        <v>66800</v>
      </c>
      <c r="F46" s="115"/>
      <c r="G46" s="115"/>
      <c r="H46" s="88">
        <f t="shared" si="0"/>
        <v>0</v>
      </c>
      <c r="I46" s="88">
        <f t="shared" si="1"/>
        <v>0</v>
      </c>
      <c r="J46" s="88" t="str">
        <f t="shared" si="2"/>
        <v/>
      </c>
    </row>
    <row r="47" spans="1:10" ht="26.45" customHeight="1" x14ac:dyDescent="0.2">
      <c r="A47" s="12"/>
      <c r="B47" s="25" t="s">
        <v>323</v>
      </c>
      <c r="C47" s="15" t="s">
        <v>20</v>
      </c>
      <c r="D47" s="116">
        <f>'PL.2 TH (chi tiet)'!J160</f>
        <v>58171</v>
      </c>
      <c r="E47" s="116">
        <f>'PL.2 TH (chi tiet)'!K160</f>
        <v>58330</v>
      </c>
      <c r="F47" s="116"/>
      <c r="G47" s="116">
        <f>'PL.2 TH (chi tiet)'!M160</f>
        <v>66569.09</v>
      </c>
      <c r="H47" s="88">
        <f>IFERROR(F47/E46*100,"")</f>
        <v>0</v>
      </c>
      <c r="I47" s="88">
        <f>IFERROR(F47/D46*100,"")</f>
        <v>0</v>
      </c>
      <c r="J47" s="88" t="str">
        <f t="shared" si="2"/>
        <v/>
      </c>
    </row>
    <row r="48" spans="1:10" ht="25.15" customHeight="1" x14ac:dyDescent="0.2">
      <c r="A48" s="7" t="s">
        <v>7</v>
      </c>
      <c r="B48" s="23" t="s">
        <v>34</v>
      </c>
      <c r="C48" s="15"/>
      <c r="D48" s="24"/>
      <c r="E48" s="24"/>
      <c r="F48" s="94"/>
      <c r="G48" s="94"/>
      <c r="H48" s="88" t="str">
        <f t="shared" ref="H48:H54" si="3">IFERROR(F48/E48*100,"")</f>
        <v/>
      </c>
      <c r="I48" s="88" t="str">
        <f t="shared" ref="I48:I54" si="4">IFERROR(F48/D48*100,"")</f>
        <v/>
      </c>
      <c r="J48" s="88" t="str">
        <f t="shared" si="2"/>
        <v/>
      </c>
    </row>
    <row r="49" spans="1:10" ht="25.15" customHeight="1" x14ac:dyDescent="0.2">
      <c r="A49" s="12"/>
      <c r="B49" s="13" t="s">
        <v>33</v>
      </c>
      <c r="C49" s="15" t="s">
        <v>17</v>
      </c>
      <c r="D49" s="27">
        <f>'PL.2 TH (chi tiet)'!J202</f>
        <v>55</v>
      </c>
      <c r="E49" s="27">
        <f>'PL.2 TH (chi tiet)'!K202</f>
        <v>61</v>
      </c>
      <c r="F49" s="95"/>
      <c r="G49" s="95">
        <f>'PL.2 TH (chi tiet)'!M202</f>
        <v>61</v>
      </c>
      <c r="H49" s="88">
        <f t="shared" si="3"/>
        <v>0</v>
      </c>
      <c r="I49" s="88">
        <f t="shared" si="4"/>
        <v>0</v>
      </c>
      <c r="J49" s="88" t="str">
        <f t="shared" si="2"/>
        <v/>
      </c>
    </row>
    <row r="50" spans="1:10" ht="36" customHeight="1" x14ac:dyDescent="0.2">
      <c r="A50" s="12"/>
      <c r="B50" s="28" t="s">
        <v>32</v>
      </c>
      <c r="C50" s="15" t="s">
        <v>6</v>
      </c>
      <c r="D50" s="29">
        <f>'PL.2 TH (chi tiet)'!J203</f>
        <v>77.464788732394368</v>
      </c>
      <c r="E50" s="29">
        <f>'PL.2 TH (chi tiet)'!K203</f>
        <v>85.91549295774648</v>
      </c>
      <c r="F50" s="29">
        <f>'PL.2 TH (chi tiet)'!M203</f>
        <v>85.91549295774648</v>
      </c>
      <c r="G50" s="29">
        <f>'PL.2 TH (chi tiet)'!O203</f>
        <v>95.774647887323937</v>
      </c>
      <c r="H50" s="88">
        <f t="shared" si="3"/>
        <v>100</v>
      </c>
      <c r="I50" s="88">
        <f t="shared" si="4"/>
        <v>110.90909090909091</v>
      </c>
      <c r="J50" s="88">
        <f t="shared" si="2"/>
        <v>111.47540983606557</v>
      </c>
    </row>
    <row r="51" spans="1:10" ht="36" customHeight="1" x14ac:dyDescent="0.2">
      <c r="A51" s="12"/>
      <c r="B51" s="28" t="s">
        <v>331</v>
      </c>
      <c r="C51" s="15" t="s">
        <v>18</v>
      </c>
      <c r="D51" s="26">
        <f>'PL.2 TH (chi tiet)'!J205</f>
        <v>17.8</v>
      </c>
      <c r="E51" s="26">
        <f>'PL.2 TH (chi tiet)'!K205</f>
        <v>17.600000000000001</v>
      </c>
      <c r="F51" s="26">
        <f>'PL.2 TH (chi tiet)'!M205</f>
        <v>18.100000000000001</v>
      </c>
      <c r="G51" s="26">
        <f>'PL.2 TH (chi tiet)'!O205</f>
        <v>18.8</v>
      </c>
      <c r="H51" s="88">
        <f t="shared" si="3"/>
        <v>102.84090909090908</v>
      </c>
      <c r="I51" s="88">
        <f t="shared" si="4"/>
        <v>101.68539325842696</v>
      </c>
      <c r="J51" s="88">
        <f t="shared" si="2"/>
        <v>103.86740331491713</v>
      </c>
    </row>
    <row r="52" spans="1:10" ht="40.700000000000003" customHeight="1" x14ac:dyDescent="0.2">
      <c r="A52" s="12"/>
      <c r="B52" s="28" t="s">
        <v>327</v>
      </c>
      <c r="C52" s="15" t="s">
        <v>326</v>
      </c>
      <c r="D52" s="26">
        <f>'PL.2 TH (chi tiet)'!J206</f>
        <v>2</v>
      </c>
      <c r="E52" s="26">
        <f>'PL.2 TH (chi tiet)'!K206</f>
        <v>1</v>
      </c>
      <c r="F52" s="26">
        <f>'PL.2 TH (chi tiet)'!M206</f>
        <v>1</v>
      </c>
      <c r="G52" s="26">
        <f>'PL.2 TH (chi tiet)'!O206</f>
        <v>4</v>
      </c>
      <c r="H52" s="88">
        <f t="shared" si="3"/>
        <v>100</v>
      </c>
      <c r="I52" s="88">
        <f t="shared" si="4"/>
        <v>50</v>
      </c>
      <c r="J52" s="88">
        <f t="shared" si="2"/>
        <v>400</v>
      </c>
    </row>
    <row r="53" spans="1:10" ht="32.25" customHeight="1" x14ac:dyDescent="0.2">
      <c r="A53" s="12"/>
      <c r="B53" s="28" t="s">
        <v>325</v>
      </c>
      <c r="C53" s="15" t="s">
        <v>6</v>
      </c>
      <c r="D53" s="26">
        <f>+D52/9*100</f>
        <v>22.222222222222221</v>
      </c>
      <c r="E53" s="26">
        <f>+E52/9*100</f>
        <v>11.111111111111111</v>
      </c>
      <c r="F53" s="26">
        <f>+F52/9*100</f>
        <v>11.111111111111111</v>
      </c>
      <c r="G53" s="26">
        <f>+G52/9*100</f>
        <v>44.444444444444443</v>
      </c>
      <c r="H53" s="88">
        <f t="shared" si="3"/>
        <v>100</v>
      </c>
      <c r="I53" s="88">
        <f t="shared" si="4"/>
        <v>50</v>
      </c>
      <c r="J53" s="88">
        <f>IFERROR(G53/F53*100,"")</f>
        <v>400</v>
      </c>
    </row>
    <row r="54" spans="1:10" ht="32.25" customHeight="1" x14ac:dyDescent="0.2">
      <c r="A54" s="12"/>
      <c r="B54" s="28" t="str">
        <f>'PL.2 TH (chi tiet)'!B204</f>
        <v>Số xã đạt chuẩn nông thôn mới nâng cao</v>
      </c>
      <c r="C54" s="15" t="s">
        <v>17</v>
      </c>
      <c r="D54" s="26">
        <f>'PL.2 TH (chi tiet)'!J204</f>
        <v>8</v>
      </c>
      <c r="E54" s="26">
        <f>'PL.2 TH (chi tiet)'!K204</f>
        <v>17</v>
      </c>
      <c r="F54" s="26">
        <f>'PL.2 TH (chi tiet)'!M204</f>
        <v>17</v>
      </c>
      <c r="G54" s="26">
        <f>'PL.2 TH (chi tiet)'!O204</f>
        <v>25</v>
      </c>
      <c r="H54" s="88">
        <f t="shared" si="3"/>
        <v>100</v>
      </c>
      <c r="I54" s="88">
        <f t="shared" si="4"/>
        <v>212.5</v>
      </c>
      <c r="J54" s="88">
        <f>IFERROR(G54/F54*100,"")</f>
        <v>147.05882352941177</v>
      </c>
    </row>
    <row r="55" spans="1:10" ht="32.25" customHeight="1" x14ac:dyDescent="0.2">
      <c r="A55" s="12"/>
      <c r="B55" s="117" t="s">
        <v>202</v>
      </c>
      <c r="C55" s="118" t="s">
        <v>203</v>
      </c>
      <c r="D55" s="119">
        <f>'PL.2 TH (chi tiet)'!J213</f>
        <v>102.26192191424684</v>
      </c>
      <c r="E55" s="119">
        <f>'PL.2 TH (chi tiet)'!K213</f>
        <v>106</v>
      </c>
      <c r="F55" s="119">
        <f>'PL.2 TH (chi tiet)'!M213</f>
        <v>109</v>
      </c>
      <c r="G55" s="119">
        <f>'PL.2 TH (chi tiet)'!O213</f>
        <v>112</v>
      </c>
      <c r="H55" s="120">
        <v>100.23395516693417</v>
      </c>
      <c r="I55" s="121">
        <v>102.23863427027284</v>
      </c>
      <c r="J55" s="122">
        <v>103.01646495387232</v>
      </c>
    </row>
    <row r="56" spans="1:10" s="126" customFormat="1" ht="34.5" customHeight="1" x14ac:dyDescent="0.2">
      <c r="A56" s="125"/>
      <c r="B56" s="287" t="s">
        <v>334</v>
      </c>
      <c r="C56" s="287"/>
      <c r="D56" s="287"/>
      <c r="E56" s="287"/>
      <c r="F56" s="287"/>
      <c r="G56" s="287"/>
      <c r="H56" s="287"/>
      <c r="I56" s="287"/>
      <c r="J56" s="287"/>
    </row>
  </sheetData>
  <mergeCells count="11">
    <mergeCell ref="B56:J56"/>
    <mergeCell ref="G3:G4"/>
    <mergeCell ref="H3:J3"/>
    <mergeCell ref="A1:J1"/>
    <mergeCell ref="A2:J2"/>
    <mergeCell ref="D3:D4"/>
    <mergeCell ref="E3:E4"/>
    <mergeCell ref="F3:F4"/>
    <mergeCell ref="A3:A4"/>
    <mergeCell ref="B3:B4"/>
    <mergeCell ref="C3:C4"/>
  </mergeCells>
  <phoneticPr fontId="6" type="noConversion"/>
  <pageMargins left="0.4" right="0.2" top="0.41" bottom="0.34" header="0.2" footer="0.2"/>
  <pageSetup paperSize="9" scale="67" fitToHeight="0" orientation="portrait" r:id="rId1"/>
  <headerFooter alignWithMargins="0">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46ED0-B8E5-4BDF-AEFD-ECE73572D3AE}">
  <sheetPr codeName="Sheet2"/>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A0D59-6C6E-46AD-BD5D-A7618EA42EB1}">
  <sheetPr codeName="Sheet3">
    <pageSetUpPr fitToPage="1"/>
  </sheetPr>
  <dimension ref="A1:L63"/>
  <sheetViews>
    <sheetView zoomScale="70" zoomScaleNormal="70" workbookViewId="0">
      <pane xSplit="2" ySplit="4" topLeftCell="D5" activePane="bottomRight" state="frozen"/>
      <selection pane="topRight" activeCell="C1" sqref="C1"/>
      <selection pane="bottomLeft" activeCell="A5" sqref="A5"/>
      <selection pane="bottomRight" activeCell="N8" sqref="N8"/>
    </sheetView>
  </sheetViews>
  <sheetFormatPr defaultColWidth="9.28515625" defaultRowHeight="25.15" customHeight="1" x14ac:dyDescent="0.2"/>
  <cols>
    <col min="1" max="1" width="3.85546875" style="4" bestFit="1" customWidth="1"/>
    <col min="2" max="2" width="51.42578125" style="1" customWidth="1"/>
    <col min="3" max="3" width="13.85546875" style="5" bestFit="1" customWidth="1"/>
    <col min="4" max="7" width="12.85546875" style="6" bestFit="1" customWidth="1"/>
    <col min="8" max="10" width="11.7109375" style="1" bestFit="1" customWidth="1"/>
    <col min="11" max="16384" width="9.28515625" style="1"/>
  </cols>
  <sheetData>
    <row r="1" spans="1:12" ht="39.75" customHeight="1" x14ac:dyDescent="0.2">
      <c r="A1" s="291" t="s">
        <v>384</v>
      </c>
      <c r="B1" s="291"/>
      <c r="C1" s="291"/>
      <c r="D1" s="291"/>
      <c r="E1" s="291"/>
      <c r="F1" s="291"/>
      <c r="G1" s="291"/>
      <c r="H1" s="291"/>
      <c r="I1" s="291"/>
      <c r="J1" s="291"/>
    </row>
    <row r="2" spans="1:12" ht="30.75" customHeight="1" x14ac:dyDescent="0.2">
      <c r="A2" s="292" t="s">
        <v>392</v>
      </c>
      <c r="B2" s="292"/>
      <c r="C2" s="292"/>
      <c r="D2" s="292"/>
      <c r="E2" s="292"/>
      <c r="F2" s="292"/>
      <c r="G2" s="292"/>
      <c r="H2" s="292"/>
      <c r="I2" s="292"/>
      <c r="J2" s="292"/>
    </row>
    <row r="3" spans="1:12" ht="32.25" customHeight="1" x14ac:dyDescent="0.2">
      <c r="A3" s="294" t="s">
        <v>0</v>
      </c>
      <c r="B3" s="294" t="s">
        <v>1</v>
      </c>
      <c r="C3" s="295" t="s">
        <v>2</v>
      </c>
      <c r="D3" s="293" t="s">
        <v>376</v>
      </c>
      <c r="E3" s="288" t="s">
        <v>348</v>
      </c>
      <c r="F3" s="293" t="s">
        <v>377</v>
      </c>
      <c r="G3" s="288" t="s">
        <v>378</v>
      </c>
      <c r="H3" s="290" t="s">
        <v>31</v>
      </c>
      <c r="I3" s="290"/>
      <c r="J3" s="290"/>
    </row>
    <row r="4" spans="1:12" ht="40.700000000000003" customHeight="1" x14ac:dyDescent="0.2">
      <c r="A4" s="294"/>
      <c r="B4" s="294"/>
      <c r="C4" s="296"/>
      <c r="D4" s="293"/>
      <c r="E4" s="289"/>
      <c r="F4" s="293"/>
      <c r="G4" s="289"/>
      <c r="H4" s="2" t="s">
        <v>379</v>
      </c>
      <c r="I4" s="2" t="s">
        <v>380</v>
      </c>
      <c r="J4" s="2" t="s">
        <v>381</v>
      </c>
    </row>
    <row r="5" spans="1:12" s="3" customFormat="1" ht="25.15" hidden="1" customHeight="1" x14ac:dyDescent="0.2">
      <c r="A5" s="7" t="s">
        <v>3</v>
      </c>
      <c r="B5" s="8" t="s">
        <v>13</v>
      </c>
      <c r="C5" s="9"/>
      <c r="D5" s="10"/>
      <c r="E5" s="10"/>
      <c r="F5" s="10"/>
      <c r="G5" s="10"/>
      <c r="H5" s="11"/>
      <c r="I5" s="11"/>
      <c r="J5" s="14"/>
    </row>
    <row r="6" spans="1:12" ht="33.75" hidden="1" customHeight="1" x14ac:dyDescent="0.2">
      <c r="A6" s="12"/>
      <c r="B6" s="13" t="s">
        <v>5</v>
      </c>
      <c r="C6" s="9" t="s">
        <v>4</v>
      </c>
      <c r="D6" s="30">
        <f>'[1]PL.2 TH'!I7/1000</f>
        <v>26521.296999999999</v>
      </c>
      <c r="E6" s="30">
        <f>'[1]PL.2 TH'!J7/1000</f>
        <v>26157.946707977608</v>
      </c>
      <c r="F6" s="30">
        <f>'[1]PL.2 TH'!K7/1000</f>
        <v>27478.338856800001</v>
      </c>
      <c r="G6" s="30">
        <f>'[1]PL.2 TH'!L7/1000</f>
        <v>27478.338856800001</v>
      </c>
      <c r="H6" s="88">
        <f t="shared" ref="H6:H60" si="0">IFERROR(F6/E6*100,"")</f>
        <v>105.0477667974593</v>
      </c>
      <c r="I6" s="88">
        <f t="shared" ref="I6:I60" si="1">IFERROR(F6/D6*100,"")</f>
        <v>103.60857863323956</v>
      </c>
      <c r="J6" s="88">
        <f>IFERROR(G6/F6*100,"")</f>
        <v>100</v>
      </c>
    </row>
    <row r="7" spans="1:12" ht="25.15" customHeight="1" x14ac:dyDescent="0.2">
      <c r="A7" s="7" t="s">
        <v>3</v>
      </c>
      <c r="B7" s="14" t="s">
        <v>8</v>
      </c>
      <c r="C7" s="15"/>
      <c r="D7" s="16"/>
      <c r="E7" s="16"/>
      <c r="F7" s="89"/>
      <c r="G7" s="89"/>
      <c r="H7" s="88" t="str">
        <f t="shared" si="0"/>
        <v/>
      </c>
      <c r="I7" s="88" t="str">
        <f t="shared" si="1"/>
        <v/>
      </c>
      <c r="J7" s="88" t="str">
        <f t="shared" ref="J7:J59" si="2">IFERROR(G7/F7*100,"")</f>
        <v/>
      </c>
    </row>
    <row r="8" spans="1:12" s="3" customFormat="1" ht="25.15" customHeight="1" x14ac:dyDescent="0.2">
      <c r="A8" s="7"/>
      <c r="B8" s="17" t="s">
        <v>15</v>
      </c>
      <c r="C8" s="18" t="s">
        <v>20</v>
      </c>
      <c r="D8" s="19">
        <f>'PL.2 TH (chi tiet)'!K22</f>
        <v>389089.46599999996</v>
      </c>
      <c r="E8" s="19">
        <f>'PL.2 TH (chi tiet)'!L22</f>
        <v>376462.31833333336</v>
      </c>
      <c r="F8" s="19">
        <f>'PL.2 TH (chi tiet)'!N22</f>
        <v>386994.28333333333</v>
      </c>
      <c r="G8" s="19">
        <f>'PL.2 TH (chi tiet)'!O22</f>
        <v>385640.3</v>
      </c>
      <c r="H8" s="128">
        <f>IFERROR(F8/E8*100,"")</f>
        <v>102.79761465812219</v>
      </c>
      <c r="I8" s="128">
        <f>IFERROR(F8/D8*100,"")</f>
        <v>99.461516476350283</v>
      </c>
      <c r="J8" s="128">
        <f>IFERROR(G8/F8*100,"")</f>
        <v>99.650128337382412</v>
      </c>
    </row>
    <row r="9" spans="1:12" ht="25.15" customHeight="1" x14ac:dyDescent="0.2">
      <c r="A9" s="12"/>
      <c r="B9" s="20" t="s">
        <v>27</v>
      </c>
      <c r="C9" s="15"/>
      <c r="D9" s="19"/>
      <c r="E9" s="19"/>
      <c r="F9" s="90"/>
      <c r="G9" s="90"/>
      <c r="H9" s="88" t="str">
        <f t="shared" si="0"/>
        <v/>
      </c>
      <c r="I9" s="88" t="str">
        <f t="shared" si="1"/>
        <v/>
      </c>
      <c r="J9" s="88" t="str">
        <f t="shared" si="2"/>
        <v/>
      </c>
    </row>
    <row r="10" spans="1:12" ht="25.15" customHeight="1" x14ac:dyDescent="0.2">
      <c r="A10" s="12"/>
      <c r="B10" s="13" t="s">
        <v>9</v>
      </c>
      <c r="C10" s="13"/>
      <c r="D10" s="19"/>
      <c r="E10" s="19"/>
      <c r="F10" s="90"/>
      <c r="G10" s="90"/>
      <c r="H10" s="88" t="str">
        <f t="shared" si="0"/>
        <v/>
      </c>
      <c r="I10" s="88" t="str">
        <f t="shared" si="1"/>
        <v/>
      </c>
      <c r="J10" s="88" t="str">
        <f t="shared" si="2"/>
        <v/>
      </c>
    </row>
    <row r="11" spans="1:12" ht="25.15" customHeight="1" x14ac:dyDescent="0.2">
      <c r="A11" s="12"/>
      <c r="B11" s="13" t="s">
        <v>21</v>
      </c>
      <c r="C11" s="15" t="s">
        <v>20</v>
      </c>
      <c r="D11" s="91">
        <f>'PL.2 TH (chi tiet)'!K25</f>
        <v>147696.54999999999</v>
      </c>
      <c r="E11" s="91">
        <f>'PL.2 TH (chi tiet)'!L25</f>
        <v>135000</v>
      </c>
      <c r="F11" s="91">
        <f>'PL.2 TH (chi tiet)'!N25</f>
        <v>148487.67000000001</v>
      </c>
      <c r="G11" s="91">
        <f>'PL.2 TH (chi tiet)'!O25</f>
        <v>146700</v>
      </c>
      <c r="H11" s="88">
        <f t="shared" si="0"/>
        <v>109.99086666666669</v>
      </c>
      <c r="I11" s="88">
        <f t="shared" si="1"/>
        <v>100.53563878100064</v>
      </c>
      <c r="J11" s="88">
        <f t="shared" si="2"/>
        <v>98.796081856493529</v>
      </c>
    </row>
    <row r="12" spans="1:12" ht="25.15" customHeight="1" x14ac:dyDescent="0.2">
      <c r="A12" s="12"/>
      <c r="B12" s="13" t="s">
        <v>22</v>
      </c>
      <c r="C12" s="15" t="s">
        <v>24</v>
      </c>
      <c r="D12" s="91">
        <f>'PL.2 TH (chi tiet)'!K26</f>
        <v>54.759128767733571</v>
      </c>
      <c r="E12" s="91">
        <f>'PL.2 TH (chi tiet)'!L26</f>
        <v>56</v>
      </c>
      <c r="F12" s="91">
        <f>'PL.2 TH (chi tiet)'!N26</f>
        <v>55.31</v>
      </c>
      <c r="G12" s="91">
        <f>'PL.2 TH (chi tiet)'!O26</f>
        <v>56</v>
      </c>
      <c r="H12" s="88">
        <f t="shared" si="0"/>
        <v>98.767857142857153</v>
      </c>
      <c r="I12" s="88">
        <f t="shared" si="1"/>
        <v>101.00598976766597</v>
      </c>
      <c r="J12" s="88">
        <f t="shared" si="2"/>
        <v>101.24751401193275</v>
      </c>
    </row>
    <row r="13" spans="1:12" ht="25.15" customHeight="1" x14ac:dyDescent="0.2">
      <c r="A13" s="12"/>
      <c r="B13" s="13" t="s">
        <v>23</v>
      </c>
      <c r="C13" s="15" t="s">
        <v>25</v>
      </c>
      <c r="D13" s="91">
        <f>'PL.2 TH (chi tiet)'!K27</f>
        <v>808773.44</v>
      </c>
      <c r="E13" s="91">
        <f>'PL.2 TH (chi tiet)'!L27</f>
        <v>756000</v>
      </c>
      <c r="F13" s="91">
        <f>'PL.2 TH (chi tiet)'!N27</f>
        <v>821285.30277000018</v>
      </c>
      <c r="G13" s="91">
        <f>'PL.2 TH (chi tiet)'!O27</f>
        <v>821520</v>
      </c>
      <c r="H13" s="88">
        <f t="shared" si="0"/>
        <v>108.63562205952384</v>
      </c>
      <c r="I13" s="88">
        <f t="shared" si="1"/>
        <v>101.54701701999515</v>
      </c>
      <c r="J13" s="88">
        <f t="shared" si="2"/>
        <v>100.02857682089382</v>
      </c>
      <c r="L13" s="138"/>
    </row>
    <row r="14" spans="1:12" ht="25.15" customHeight="1" x14ac:dyDescent="0.2">
      <c r="A14" s="12"/>
      <c r="B14" s="13" t="s">
        <v>10</v>
      </c>
      <c r="C14" s="15"/>
      <c r="D14" s="21"/>
      <c r="E14" s="21"/>
      <c r="F14" s="92"/>
      <c r="G14" s="92"/>
      <c r="H14" s="88" t="str">
        <f t="shared" si="0"/>
        <v/>
      </c>
      <c r="I14" s="88" t="str">
        <f t="shared" si="1"/>
        <v/>
      </c>
      <c r="J14" s="88" t="str">
        <f t="shared" si="2"/>
        <v/>
      </c>
    </row>
    <row r="15" spans="1:12" ht="25.15" customHeight="1" x14ac:dyDescent="0.2">
      <c r="A15" s="12"/>
      <c r="B15" s="13" t="s">
        <v>21</v>
      </c>
      <c r="C15" s="15" t="s">
        <v>20</v>
      </c>
      <c r="D15" s="21">
        <f>'PL.2 TH (chi tiet)'!K28</f>
        <v>5143.420000000001</v>
      </c>
      <c r="E15" s="21">
        <f>'PL.2 TH (chi tiet)'!L28</f>
        <v>5120</v>
      </c>
      <c r="F15" s="21">
        <f>'PL.2 TH (chi tiet)'!N28</f>
        <v>5068.3999999999996</v>
      </c>
      <c r="G15" s="21">
        <f>'PL.2 TH (chi tiet)'!O28</f>
        <v>5100</v>
      </c>
      <c r="H15" s="88">
        <f t="shared" si="0"/>
        <v>98.9921875</v>
      </c>
      <c r="I15" s="88">
        <f t="shared" si="1"/>
        <v>98.541437409350181</v>
      </c>
      <c r="J15" s="88">
        <f t="shared" si="2"/>
        <v>100.62347091784389</v>
      </c>
    </row>
    <row r="16" spans="1:12" ht="25.15" customHeight="1" x14ac:dyDescent="0.2">
      <c r="A16" s="12"/>
      <c r="B16" s="13" t="s">
        <v>22</v>
      </c>
      <c r="C16" s="15" t="s">
        <v>24</v>
      </c>
      <c r="D16" s="21">
        <f>'PL.2 TH (chi tiet)'!K29</f>
        <v>58.769660778895371</v>
      </c>
      <c r="E16" s="21">
        <f>'PL.2 TH (chi tiet)'!L29</f>
        <v>59.2</v>
      </c>
      <c r="F16" s="21">
        <f>'PL.2 TH (chi tiet)'!N29</f>
        <v>59</v>
      </c>
      <c r="G16" s="21">
        <f>'PL.2 TH (chi tiet)'!O29</f>
        <v>59.5</v>
      </c>
      <c r="H16" s="88">
        <f t="shared" si="0"/>
        <v>99.662162162162161</v>
      </c>
      <c r="I16" s="88">
        <f t="shared" si="1"/>
        <v>100.39193559746961</v>
      </c>
      <c r="J16" s="88">
        <f t="shared" si="2"/>
        <v>100.84745762711864</v>
      </c>
    </row>
    <row r="17" spans="1:12" ht="25.15" customHeight="1" x14ac:dyDescent="0.2">
      <c r="A17" s="12"/>
      <c r="B17" s="13" t="s">
        <v>23</v>
      </c>
      <c r="C17" s="15" t="s">
        <v>25</v>
      </c>
      <c r="D17" s="21">
        <f>'PL.2 TH (chi tiet)'!K30</f>
        <v>30227.704864338612</v>
      </c>
      <c r="E17" s="21">
        <f>'PL.2 TH (chi tiet)'!L30</f>
        <v>30310.400000000001</v>
      </c>
      <c r="F17" s="21">
        <f>'PL.2 TH (chi tiet)'!N30</f>
        <v>29903.559999999998</v>
      </c>
      <c r="G17" s="21">
        <f>'PL.2 TH (chi tiet)'!O30</f>
        <v>30523.5</v>
      </c>
      <c r="H17" s="88">
        <f t="shared" si="0"/>
        <v>98.657754434121614</v>
      </c>
      <c r="I17" s="88">
        <f t="shared" si="1"/>
        <v>98.927656380815648</v>
      </c>
      <c r="J17" s="88">
        <f t="shared" si="2"/>
        <v>102.07313109208403</v>
      </c>
    </row>
    <row r="18" spans="1:12" ht="25.15" customHeight="1" x14ac:dyDescent="0.2">
      <c r="A18" s="12"/>
      <c r="B18" s="13" t="s">
        <v>11</v>
      </c>
      <c r="C18" s="15"/>
      <c r="D18" s="21"/>
      <c r="E18" s="21"/>
      <c r="F18" s="92"/>
      <c r="G18" s="92"/>
      <c r="H18" s="88" t="str">
        <f t="shared" si="0"/>
        <v/>
      </c>
      <c r="I18" s="88" t="str">
        <f t="shared" si="1"/>
        <v/>
      </c>
      <c r="J18" s="88" t="str">
        <f t="shared" si="2"/>
        <v/>
      </c>
    </row>
    <row r="19" spans="1:12" ht="25.15" customHeight="1" x14ac:dyDescent="0.2">
      <c r="A19" s="12"/>
      <c r="B19" s="13" t="s">
        <v>21</v>
      </c>
      <c r="C19" s="15" t="s">
        <v>20</v>
      </c>
      <c r="D19" s="21">
        <f>'PL.2 TH (chi tiet)'!K35</f>
        <v>61695.73000000001</v>
      </c>
      <c r="E19" s="21">
        <f>'PL.2 TH (chi tiet)'!L35</f>
        <v>61000</v>
      </c>
      <c r="F19" s="21">
        <f>'PL.2 TH (chi tiet)'!N35</f>
        <v>61870</v>
      </c>
      <c r="G19" s="21">
        <f>'PL.2 TH (chi tiet)'!O35</f>
        <v>61600</v>
      </c>
      <c r="H19" s="88">
        <f t="shared" si="0"/>
        <v>101.42622950819673</v>
      </c>
      <c r="I19" s="88">
        <f t="shared" si="1"/>
        <v>100.28246687412563</v>
      </c>
      <c r="J19" s="88">
        <f t="shared" si="2"/>
        <v>99.56360109907871</v>
      </c>
    </row>
    <row r="20" spans="1:12" ht="25.15" customHeight="1" x14ac:dyDescent="0.2">
      <c r="A20" s="12"/>
      <c r="B20" s="13" t="s">
        <v>22</v>
      </c>
      <c r="C20" s="15" t="s">
        <v>24</v>
      </c>
      <c r="D20" s="21">
        <f>'PL.2 TH (chi tiet)'!K36</f>
        <v>328.15135123020895</v>
      </c>
      <c r="E20" s="21">
        <f>'PL.2 TH (chi tiet)'!L36</f>
        <v>335</v>
      </c>
      <c r="F20" s="21">
        <f>'PL.2 TH (chi tiet)'!N36</f>
        <v>332.5</v>
      </c>
      <c r="G20" s="21">
        <f>'PL.2 TH (chi tiet)'!O36</f>
        <v>335</v>
      </c>
      <c r="H20" s="88">
        <f t="shared" si="0"/>
        <v>99.253731343283576</v>
      </c>
      <c r="I20" s="88">
        <f t="shared" si="1"/>
        <v>101.32519605769971</v>
      </c>
      <c r="J20" s="88">
        <f t="shared" si="2"/>
        <v>100.75187969924812</v>
      </c>
      <c r="L20" s="129"/>
    </row>
    <row r="21" spans="1:12" ht="25.15" customHeight="1" x14ac:dyDescent="0.2">
      <c r="A21" s="12"/>
      <c r="B21" s="13" t="s">
        <v>23</v>
      </c>
      <c r="C21" s="15" t="s">
        <v>25</v>
      </c>
      <c r="D21" s="21">
        <f>'PL.2 TH (chi tiet)'!K37</f>
        <v>2024553.7164634143</v>
      </c>
      <c r="E21" s="21">
        <f>'PL.2 TH (chi tiet)'!L37</f>
        <v>2043500</v>
      </c>
      <c r="F21" s="21">
        <f>'PL.2 TH (chi tiet)'!N37</f>
        <v>2057177.5</v>
      </c>
      <c r="G21" s="21">
        <f>'PL.2 TH (chi tiet)'!O37</f>
        <v>2063600</v>
      </c>
      <c r="H21" s="88">
        <f t="shared" si="0"/>
        <v>100.66931734768778</v>
      </c>
      <c r="I21" s="88">
        <f t="shared" si="1"/>
        <v>101.61140617170557</v>
      </c>
      <c r="J21" s="88">
        <f t="shared" si="2"/>
        <v>100.31219960358307</v>
      </c>
      <c r="L21" s="129"/>
    </row>
    <row r="22" spans="1:12" ht="25.15" customHeight="1" x14ac:dyDescent="0.2">
      <c r="A22" s="12"/>
      <c r="B22" s="13" t="s">
        <v>26</v>
      </c>
      <c r="C22" s="15"/>
      <c r="D22" s="21"/>
      <c r="E22" s="21"/>
      <c r="F22" s="92"/>
      <c r="G22" s="92"/>
      <c r="H22" s="88" t="str">
        <f t="shared" si="0"/>
        <v/>
      </c>
      <c r="I22" s="88" t="str">
        <f t="shared" si="1"/>
        <v/>
      </c>
      <c r="J22" s="88" t="str">
        <f t="shared" si="2"/>
        <v/>
      </c>
    </row>
    <row r="23" spans="1:12" ht="25.15" customHeight="1" x14ac:dyDescent="0.2">
      <c r="A23" s="12"/>
      <c r="B23" s="13" t="s">
        <v>21</v>
      </c>
      <c r="C23" s="15" t="s">
        <v>20</v>
      </c>
      <c r="D23" s="21">
        <f>'PL.2 TH (chi tiet)'!K49</f>
        <v>6255.1999999999989</v>
      </c>
      <c r="E23" s="21">
        <f>'PL.2 TH (chi tiet)'!L49</f>
        <v>6400</v>
      </c>
      <c r="F23" s="21">
        <f>'PL.2 TH (chi tiet)'!N49</f>
        <v>7174.68</v>
      </c>
      <c r="G23" s="21">
        <f>'PL.2 TH (chi tiet)'!O49</f>
        <v>7000</v>
      </c>
      <c r="H23" s="88">
        <f t="shared" si="0"/>
        <v>112.104375</v>
      </c>
      <c r="I23" s="88">
        <f t="shared" si="1"/>
        <v>114.69945005755213</v>
      </c>
      <c r="J23" s="88">
        <f t="shared" si="2"/>
        <v>97.565326955348525</v>
      </c>
    </row>
    <row r="24" spans="1:12" ht="25.15" customHeight="1" x14ac:dyDescent="0.2">
      <c r="A24" s="12"/>
      <c r="B24" s="13" t="s">
        <v>22</v>
      </c>
      <c r="C24" s="15" t="s">
        <v>24</v>
      </c>
      <c r="D24" s="21">
        <f>'PL.2 TH (chi tiet)'!K50</f>
        <v>746.29121910020433</v>
      </c>
      <c r="E24" s="21">
        <f>'PL.2 TH (chi tiet)'!L50</f>
        <v>780</v>
      </c>
      <c r="F24" s="21">
        <f>'PL.2 TH (chi tiet)'!N50</f>
        <v>759.5</v>
      </c>
      <c r="G24" s="21">
        <f>'PL.2 TH (chi tiet)'!O50</f>
        <v>760</v>
      </c>
      <c r="H24" s="88">
        <f t="shared" si="0"/>
        <v>97.371794871794876</v>
      </c>
      <c r="I24" s="88">
        <f t="shared" si="1"/>
        <v>101.76992312943483</v>
      </c>
      <c r="J24" s="88">
        <f t="shared" si="2"/>
        <v>100.06583278472681</v>
      </c>
    </row>
    <row r="25" spans="1:12" ht="25.15" customHeight="1" x14ac:dyDescent="0.2">
      <c r="A25" s="12"/>
      <c r="B25" s="13" t="s">
        <v>23</v>
      </c>
      <c r="C25" s="15" t="s">
        <v>25</v>
      </c>
      <c r="D25" s="21">
        <f>'PL.2 TH (chi tiet)'!K51</f>
        <v>466820.08337155974</v>
      </c>
      <c r="E25" s="21">
        <f>'PL.2 TH (chi tiet)'!L51</f>
        <v>499200</v>
      </c>
      <c r="F25" s="21">
        <f>'PL.2 TH (chi tiet)'!N51</f>
        <v>544916.946</v>
      </c>
      <c r="G25" s="21">
        <f>'PL.2 TH (chi tiet)'!O51</f>
        <v>532000</v>
      </c>
      <c r="H25" s="88">
        <f t="shared" si="0"/>
        <v>109.15804206730768</v>
      </c>
      <c r="I25" s="88">
        <f t="shared" si="1"/>
        <v>116.7295421534553</v>
      </c>
      <c r="J25" s="88">
        <f t="shared" si="2"/>
        <v>97.629556927011038</v>
      </c>
    </row>
    <row r="26" spans="1:12" ht="25.15" customHeight="1" x14ac:dyDescent="0.2">
      <c r="A26" s="12"/>
      <c r="B26" s="13" t="s">
        <v>12</v>
      </c>
      <c r="C26" s="15"/>
      <c r="D26" s="21"/>
      <c r="E26" s="21"/>
      <c r="F26" s="92"/>
      <c r="G26" s="92"/>
      <c r="H26" s="88" t="str">
        <f t="shared" si="0"/>
        <v/>
      </c>
      <c r="I26" s="88" t="str">
        <f t="shared" si="1"/>
        <v/>
      </c>
      <c r="J26" s="88" t="str">
        <f t="shared" si="2"/>
        <v/>
      </c>
    </row>
    <row r="27" spans="1:12" ht="25.15" customHeight="1" x14ac:dyDescent="0.2">
      <c r="A27" s="12"/>
      <c r="B27" s="13" t="s">
        <v>21</v>
      </c>
      <c r="C27" s="15" t="s">
        <v>20</v>
      </c>
      <c r="D27" s="21">
        <f>'PL.2 TH (chi tiet)'!K52</f>
        <v>3185.7899999999995</v>
      </c>
      <c r="E27" s="21">
        <f>'PL.2 TH (chi tiet)'!L52</f>
        <v>3400</v>
      </c>
      <c r="F27" s="21">
        <f>'PL.2 TH (chi tiet)'!N52</f>
        <v>2994</v>
      </c>
      <c r="G27" s="21">
        <f>'PL.2 TH (chi tiet)'!O52</f>
        <v>3000</v>
      </c>
      <c r="H27" s="88">
        <f t="shared" si="0"/>
        <v>88.058823529411768</v>
      </c>
      <c r="I27" s="88">
        <f t="shared" si="1"/>
        <v>93.979829178947782</v>
      </c>
      <c r="J27" s="88">
        <f t="shared" si="2"/>
        <v>100.20040080160319</v>
      </c>
    </row>
    <row r="28" spans="1:12" ht="25.15" customHeight="1" x14ac:dyDescent="0.2">
      <c r="A28" s="12"/>
      <c r="B28" s="13" t="s">
        <v>22</v>
      </c>
      <c r="C28" s="15" t="s">
        <v>24</v>
      </c>
      <c r="D28" s="21">
        <f>'PL.2 TH (chi tiet)'!K53</f>
        <v>38.287080567143462</v>
      </c>
      <c r="E28" s="21">
        <f>'PL.2 TH (chi tiet)'!L53</f>
        <v>40</v>
      </c>
      <c r="F28" s="21">
        <f>'PL.2 TH (chi tiet)'!N53</f>
        <v>38.299999999999997</v>
      </c>
      <c r="G28" s="21">
        <f>'PL.2 TH (chi tiet)'!O53</f>
        <v>40</v>
      </c>
      <c r="H28" s="88">
        <f t="shared" si="0"/>
        <v>95.749999999999986</v>
      </c>
      <c r="I28" s="88">
        <f t="shared" si="1"/>
        <v>100.03374358312298</v>
      </c>
      <c r="J28" s="88">
        <f t="shared" si="2"/>
        <v>104.43864229765015</v>
      </c>
    </row>
    <row r="29" spans="1:12" ht="25.5" customHeight="1" x14ac:dyDescent="0.2">
      <c r="A29" s="12"/>
      <c r="B29" s="13" t="s">
        <v>23</v>
      </c>
      <c r="C29" s="15" t="s">
        <v>25</v>
      </c>
      <c r="D29" s="21">
        <f>'PL.2 TH (chi tiet)'!K54</f>
        <v>12197.459839999996</v>
      </c>
      <c r="E29" s="21">
        <f>'PL.2 TH (chi tiet)'!L54</f>
        <v>13600</v>
      </c>
      <c r="F29" s="21">
        <f>'PL.2 TH (chi tiet)'!N54</f>
        <v>11467.02</v>
      </c>
      <c r="G29" s="21">
        <f>'PL.2 TH (chi tiet)'!O54</f>
        <v>12000</v>
      </c>
      <c r="H29" s="88">
        <f t="shared" si="0"/>
        <v>84.316323529411761</v>
      </c>
      <c r="I29" s="88">
        <f t="shared" si="1"/>
        <v>94.011541340725614</v>
      </c>
      <c r="J29" s="88">
        <f t="shared" si="2"/>
        <v>104.64793817399811</v>
      </c>
    </row>
    <row r="30" spans="1:12" ht="25.5" customHeight="1" x14ac:dyDescent="0.2">
      <c r="A30" s="12"/>
      <c r="B30" s="111" t="s">
        <v>383</v>
      </c>
      <c r="C30" s="15"/>
      <c r="D30" s="21"/>
      <c r="E30" s="21"/>
      <c r="F30" s="21"/>
      <c r="G30" s="21"/>
      <c r="H30" s="88" t="str">
        <f t="shared" ref="H30:H33" si="3">IFERROR(F30/E30*100,"")</f>
        <v/>
      </c>
      <c r="I30" s="88" t="str">
        <f t="shared" ref="I30:I33" si="4">IFERROR(F30/D30*100,"")</f>
        <v/>
      </c>
      <c r="J30" s="88" t="str">
        <f t="shared" ref="J30:J33" si="5">IFERROR(G30/F30*100,"")</f>
        <v/>
      </c>
    </row>
    <row r="31" spans="1:12" ht="25.5" customHeight="1" x14ac:dyDescent="0.2">
      <c r="A31" s="12"/>
      <c r="B31" s="13" t="s">
        <v>21</v>
      </c>
      <c r="C31" s="15" t="s">
        <v>20</v>
      </c>
      <c r="D31" s="21">
        <f>'PL.2 TH (chi tiet)'!K42</f>
        <v>19254.32</v>
      </c>
      <c r="E31" s="21">
        <f>'PL.2 TH (chi tiet)'!L42</f>
        <v>20200</v>
      </c>
      <c r="F31" s="21">
        <f>'PL.2 TH (chi tiet)'!N42</f>
        <v>19156</v>
      </c>
      <c r="G31" s="21">
        <f>'PL.2 TH (chi tiet)'!O42</f>
        <v>19700</v>
      </c>
      <c r="H31" s="88">
        <f t="shared" si="3"/>
        <v>94.831683168316829</v>
      </c>
      <c r="I31" s="88">
        <f t="shared" si="4"/>
        <v>99.489361348518159</v>
      </c>
      <c r="J31" s="88">
        <f t="shared" si="5"/>
        <v>102.839841302986</v>
      </c>
    </row>
    <row r="32" spans="1:12" ht="25.5" customHeight="1" x14ac:dyDescent="0.2">
      <c r="A32" s="12"/>
      <c r="B32" s="13" t="s">
        <v>22</v>
      </c>
      <c r="C32" s="15" t="s">
        <v>24</v>
      </c>
      <c r="D32" s="21">
        <f>'PL.2 TH (chi tiet)'!K43</f>
        <v>185.64773757265903</v>
      </c>
      <c r="E32" s="21">
        <f>'PL.2 TH (chi tiet)'!L43</f>
        <v>186</v>
      </c>
      <c r="F32" s="21">
        <f>'PL.2 TH (chi tiet)'!N43</f>
        <v>187.31</v>
      </c>
      <c r="G32" s="21">
        <f>'PL.2 TH (chi tiet)'!O43</f>
        <v>190</v>
      </c>
      <c r="H32" s="88">
        <f t="shared" si="3"/>
        <v>100.70430107526882</v>
      </c>
      <c r="I32" s="88">
        <f t="shared" si="4"/>
        <v>100.89538523284745</v>
      </c>
      <c r="J32" s="88">
        <f t="shared" si="5"/>
        <v>101.43612193689606</v>
      </c>
    </row>
    <row r="33" spans="1:10" ht="25.5" customHeight="1" x14ac:dyDescent="0.2">
      <c r="A33" s="12"/>
      <c r="B33" s="13" t="s">
        <v>23</v>
      </c>
      <c r="C33" s="15" t="s">
        <v>25</v>
      </c>
      <c r="D33" s="21">
        <f>'PL.2 TH (chi tiet)'!K44</f>
        <v>357452.09464999998</v>
      </c>
      <c r="E33" s="21">
        <f>'PL.2 TH (chi tiet)'!L44</f>
        <v>375720</v>
      </c>
      <c r="F33" s="21">
        <f>'PL.2 TH (chi tiet)'!N44</f>
        <v>358811.03599999996</v>
      </c>
      <c r="G33" s="21">
        <f>'PL.2 TH (chi tiet)'!O44</f>
        <v>374300</v>
      </c>
      <c r="H33" s="88">
        <f t="shared" si="3"/>
        <v>95.499583732566791</v>
      </c>
      <c r="I33" s="88">
        <f t="shared" si="4"/>
        <v>100.38017439828701</v>
      </c>
      <c r="J33" s="88">
        <f t="shared" si="5"/>
        <v>104.31674682380729</v>
      </c>
    </row>
    <row r="34" spans="1:10" ht="25.5" customHeight="1" x14ac:dyDescent="0.2">
      <c r="A34" s="12"/>
      <c r="B34" s="13" t="s">
        <v>19</v>
      </c>
      <c r="C34" s="15"/>
      <c r="D34" s="21"/>
      <c r="E34" s="21"/>
      <c r="F34" s="92"/>
      <c r="G34" s="92"/>
      <c r="H34" s="88" t="str">
        <f t="shared" ref="H34:H37" si="6">IFERROR(F34/E34*100,"")</f>
        <v/>
      </c>
      <c r="I34" s="88" t="str">
        <f t="shared" ref="I34:I37" si="7">IFERROR(F34/D34*100,"")</f>
        <v/>
      </c>
      <c r="J34" s="88" t="str">
        <f t="shared" ref="J34:J37" si="8">IFERROR(G34/F34*100,"")</f>
        <v/>
      </c>
    </row>
    <row r="35" spans="1:10" ht="25.5" customHeight="1" x14ac:dyDescent="0.2">
      <c r="A35" s="12"/>
      <c r="B35" s="13" t="s">
        <v>21</v>
      </c>
      <c r="C35" s="15" t="s">
        <v>20</v>
      </c>
      <c r="D35" s="22">
        <f>'PL.2 TH (chi tiet)'!K68</f>
        <v>101227.70600000001</v>
      </c>
      <c r="E35" s="22">
        <f>'PL.2 TH (chi tiet)'!L68</f>
        <v>100800</v>
      </c>
      <c r="F35" s="22">
        <f>'PL.2 TH (chi tiet)'!N68</f>
        <v>99479</v>
      </c>
      <c r="G35" s="22">
        <f>'PL.2 TH (chi tiet)'!O68</f>
        <v>98700</v>
      </c>
      <c r="H35" s="88">
        <f t="shared" si="6"/>
        <v>98.689484126984127</v>
      </c>
      <c r="I35" s="88">
        <f t="shared" si="7"/>
        <v>98.272502589360272</v>
      </c>
      <c r="J35" s="88">
        <f t="shared" si="8"/>
        <v>99.216920154002352</v>
      </c>
    </row>
    <row r="36" spans="1:10" ht="25.5" customHeight="1" x14ac:dyDescent="0.2">
      <c r="A36" s="12"/>
      <c r="B36" s="13" t="s">
        <v>22</v>
      </c>
      <c r="C36" s="15" t="s">
        <v>24</v>
      </c>
      <c r="D36" s="22">
        <f>'PL.2 TH (chi tiet)'!K70</f>
        <v>21.840001850439819</v>
      </c>
      <c r="E36" s="22">
        <f>'PL.2 TH (chi tiet)'!L70</f>
        <v>21</v>
      </c>
      <c r="F36" s="22">
        <f>'PL.2 TH (chi tiet)'!N70</f>
        <v>21.97</v>
      </c>
      <c r="G36" s="22">
        <f>'PL.2 TH (chi tiet)'!O70</f>
        <v>21.45</v>
      </c>
      <c r="H36" s="88">
        <f t="shared" si="6"/>
        <v>104.61904761904761</v>
      </c>
      <c r="I36" s="88">
        <f t="shared" si="7"/>
        <v>100.59522957209622</v>
      </c>
      <c r="J36" s="88">
        <f t="shared" si="8"/>
        <v>97.633136094674555</v>
      </c>
    </row>
    <row r="37" spans="1:10" ht="25.5" customHeight="1" x14ac:dyDescent="0.2">
      <c r="A37" s="12"/>
      <c r="B37" s="13" t="s">
        <v>23</v>
      </c>
      <c r="C37" s="15" t="s">
        <v>25</v>
      </c>
      <c r="D37" s="22">
        <f>'PL.2 TH (chi tiet)'!K71</f>
        <v>189884.93686119982</v>
      </c>
      <c r="E37" s="22">
        <f>'PL.2 TH (chi tiet)'!L71</f>
        <v>184275</v>
      </c>
      <c r="F37" s="22">
        <f>'PL.2 TH (chi tiet)'!N71</f>
        <v>189242.989</v>
      </c>
      <c r="G37" s="22">
        <f>'PL.2 TH (chi tiet)'!O71</f>
        <v>186936.75</v>
      </c>
      <c r="H37" s="88">
        <f t="shared" si="6"/>
        <v>102.69596472663139</v>
      </c>
      <c r="I37" s="88">
        <f t="shared" si="7"/>
        <v>99.661927969742507</v>
      </c>
      <c r="J37" s="88">
        <f t="shared" si="8"/>
        <v>98.781334509570655</v>
      </c>
    </row>
    <row r="38" spans="1:10" ht="25.15" customHeight="1" x14ac:dyDescent="0.2">
      <c r="A38" s="12"/>
      <c r="B38" s="13" t="s">
        <v>382</v>
      </c>
      <c r="C38" s="15"/>
      <c r="D38" s="21"/>
      <c r="E38" s="21"/>
      <c r="F38" s="92"/>
      <c r="G38" s="92"/>
      <c r="H38" s="88" t="str">
        <f t="shared" si="0"/>
        <v/>
      </c>
      <c r="I38" s="88" t="str">
        <f t="shared" si="1"/>
        <v/>
      </c>
      <c r="J38" s="88" t="str">
        <f t="shared" si="2"/>
        <v/>
      </c>
    </row>
    <row r="39" spans="1:10" ht="25.15" customHeight="1" x14ac:dyDescent="0.2">
      <c r="A39" s="12"/>
      <c r="B39" s="13" t="s">
        <v>21</v>
      </c>
      <c r="C39" s="15" t="s">
        <v>20</v>
      </c>
      <c r="D39" s="22">
        <f>'PL.2 TH (chi tiet)'!K84</f>
        <v>23572.46</v>
      </c>
      <c r="E39" s="22">
        <f>'PL.2 TH (chi tiet)'!L84</f>
        <v>25120.645000000004</v>
      </c>
      <c r="F39" s="22">
        <f>'PL.2 TH (chi tiet)'!N84</f>
        <v>23829</v>
      </c>
      <c r="G39" s="22">
        <f>'PL.2 TH (chi tiet)'!O84</f>
        <v>24510</v>
      </c>
      <c r="H39" s="88">
        <f t="shared" si="0"/>
        <v>94.858233138520106</v>
      </c>
      <c r="I39" s="88">
        <f t="shared" si="1"/>
        <v>101.08830389361145</v>
      </c>
      <c r="J39" s="88">
        <f t="shared" si="2"/>
        <v>102.85786226866422</v>
      </c>
    </row>
    <row r="40" spans="1:10" ht="25.15" customHeight="1" x14ac:dyDescent="0.2">
      <c r="A40" s="12"/>
      <c r="B40" s="13" t="s">
        <v>22</v>
      </c>
      <c r="C40" s="15" t="s">
        <v>24</v>
      </c>
      <c r="D40" s="22">
        <f>D41/D39*10</f>
        <v>133.7418795186739</v>
      </c>
      <c r="E40" s="22">
        <f>E41/E39*10</f>
        <v>138.45053255220378</v>
      </c>
      <c r="F40" s="22">
        <f>F41/F39*10</f>
        <v>134.5649049897184</v>
      </c>
      <c r="G40" s="22">
        <f>G41/G39*10</f>
        <v>138.77710677690692</v>
      </c>
      <c r="H40" s="88">
        <f t="shared" si="0"/>
        <v>97.193490345715873</v>
      </c>
      <c r="I40" s="88">
        <f t="shared" si="1"/>
        <v>100.61538350889528</v>
      </c>
      <c r="J40" s="88">
        <f t="shared" si="2"/>
        <v>103.13023799742611</v>
      </c>
    </row>
    <row r="41" spans="1:10" ht="25.15" customHeight="1" x14ac:dyDescent="0.2">
      <c r="A41" s="12"/>
      <c r="B41" s="13" t="s">
        <v>23</v>
      </c>
      <c r="C41" s="15" t="s">
        <v>25</v>
      </c>
      <c r="D41" s="22">
        <f>'PL.2 TH (chi tiet)'!K88+'PL.2 TH (chi tiet)'!K92+'PL.2 TH (chi tiet)'!K96+'PL.2 TH (chi tiet)'!K100+'PL.2 TH (chi tiet)'!K104+'PL.2 TH (chi tiet)'!K108+'PL.2 TH (chi tiet)'!K112+'PL.2 TH (chi tiet)'!K116+'PL.2 TH (chi tiet)'!K120+'PL.2 TH (chi tiet)'!K124+'PL.2 TH (chi tiet)'!K126</f>
        <v>315262.51052787597</v>
      </c>
      <c r="E41" s="22">
        <f>'PL.2 TH (chi tiet)'!L88+'PL.2 TH (chi tiet)'!L92+'PL.2 TH (chi tiet)'!L96+'PL.2 TH (chi tiet)'!L100+'PL.2 TH (chi tiet)'!L104+'PL.2 TH (chi tiet)'!L108+'PL.2 TH (chi tiet)'!L112+'PL.2 TH (chi tiet)'!L116+'PL.2 TH (chi tiet)'!L120+'PL.2 TH (chi tiet)'!L124+'PL.2 TH (chi tiet)'!L126</f>
        <v>347796.66783048556</v>
      </c>
      <c r="F41" s="22">
        <f>'PL.2 TH (chi tiet)'!N88+'PL.2 TH (chi tiet)'!N92+'PL.2 TH (chi tiet)'!N96+'PL.2 TH (chi tiet)'!N100+'PL.2 TH (chi tiet)'!N104+'PL.2 TH (chi tiet)'!N108+'PL.2 TH (chi tiet)'!N112+'PL.2 TH (chi tiet)'!N116+'PL.2 TH (chi tiet)'!N120+'PL.2 TH (chi tiet)'!N124+'PL.2 TH (chi tiet)'!N126</f>
        <v>320654.7121</v>
      </c>
      <c r="G41" s="22">
        <f>'PL.2 TH (chi tiet)'!O88+'PL.2 TH (chi tiet)'!O92+'PL.2 TH (chi tiet)'!O96+'PL.2 TH (chi tiet)'!O100+'PL.2 TH (chi tiet)'!O104+'PL.2 TH (chi tiet)'!O108+'PL.2 TH (chi tiet)'!O112+'PL.2 TH (chi tiet)'!O116+'PL.2 TH (chi tiet)'!O120+'PL.2 TH (chi tiet)'!O124+'PL.2 TH (chi tiet)'!O126</f>
        <v>340142.68871019885</v>
      </c>
      <c r="H41" s="88">
        <f t="shared" si="0"/>
        <v>92.196027667604213</v>
      </c>
      <c r="I41" s="88">
        <f t="shared" si="1"/>
        <v>101.71038464519467</v>
      </c>
      <c r="J41" s="88">
        <f t="shared" si="2"/>
        <v>106.07755815673816</v>
      </c>
    </row>
    <row r="42" spans="1:10" ht="25.15" customHeight="1" x14ac:dyDescent="0.2">
      <c r="A42" s="12"/>
      <c r="B42" s="17" t="s">
        <v>313</v>
      </c>
      <c r="C42" s="15"/>
      <c r="D42" s="22"/>
      <c r="E42" s="22"/>
      <c r="F42" s="93"/>
      <c r="G42" s="93"/>
      <c r="H42" s="88" t="str">
        <f t="shared" si="0"/>
        <v/>
      </c>
      <c r="I42" s="88" t="str">
        <f t="shared" si="1"/>
        <v/>
      </c>
      <c r="J42" s="88" t="str">
        <f t="shared" si="2"/>
        <v/>
      </c>
    </row>
    <row r="43" spans="1:10" ht="25.15" customHeight="1" x14ac:dyDescent="0.2">
      <c r="A43" s="12"/>
      <c r="B43" s="111" t="s">
        <v>314</v>
      </c>
      <c r="C43" s="15" t="s">
        <v>25</v>
      </c>
      <c r="D43" s="22">
        <f>'PL.2 TH (chi tiet)'!K148</f>
        <v>48097</v>
      </c>
      <c r="E43" s="22">
        <f>'PL.2 TH (chi tiet)'!L148</f>
        <v>51000</v>
      </c>
      <c r="F43" s="22">
        <f>'PL.2 TH (chi tiet)'!N148</f>
        <v>51000</v>
      </c>
      <c r="G43" s="22">
        <f>'PL.2 TH (chi tiet)'!O148</f>
        <v>78000</v>
      </c>
      <c r="H43" s="88">
        <f t="shared" si="0"/>
        <v>100</v>
      </c>
      <c r="I43" s="88">
        <f t="shared" si="1"/>
        <v>106.03571948354367</v>
      </c>
      <c r="J43" s="88">
        <f t="shared" si="2"/>
        <v>152.94117647058823</v>
      </c>
    </row>
    <row r="44" spans="1:10" ht="25.15" customHeight="1" x14ac:dyDescent="0.2">
      <c r="A44" s="12"/>
      <c r="B44" s="111" t="s">
        <v>315</v>
      </c>
      <c r="C44" s="15" t="s">
        <v>25</v>
      </c>
      <c r="D44" s="22">
        <f>'PL.2 TH (chi tiet)'!K149</f>
        <v>700</v>
      </c>
      <c r="E44" s="22">
        <f>'PL.2 TH (chi tiet)'!L149</f>
        <v>690</v>
      </c>
      <c r="F44" s="22">
        <f>'PL.2 TH (chi tiet)'!N149</f>
        <v>690</v>
      </c>
      <c r="G44" s="22">
        <f>'PL.2 TH (chi tiet)'!O149</f>
        <v>670</v>
      </c>
      <c r="H44" s="88">
        <f t="shared" si="0"/>
        <v>100</v>
      </c>
      <c r="I44" s="88">
        <f t="shared" si="1"/>
        <v>98.571428571428584</v>
      </c>
      <c r="J44" s="88">
        <f t="shared" si="2"/>
        <v>97.101449275362313</v>
      </c>
    </row>
    <row r="45" spans="1:10" ht="25.15" customHeight="1" x14ac:dyDescent="0.2">
      <c r="A45" s="12"/>
      <c r="B45" s="111" t="s">
        <v>316</v>
      </c>
      <c r="C45" s="15" t="s">
        <v>25</v>
      </c>
      <c r="D45" s="22">
        <f>'PL.2 TH (chi tiet)'!K150</f>
        <v>7550</v>
      </c>
      <c r="E45" s="22">
        <f>'PL.2 TH (chi tiet)'!L150</f>
        <v>7600</v>
      </c>
      <c r="F45" s="22">
        <f>'PL.2 TH (chi tiet)'!N150</f>
        <v>6790</v>
      </c>
      <c r="G45" s="22">
        <f>'PL.2 TH (chi tiet)'!O150</f>
        <v>7600</v>
      </c>
      <c r="H45" s="113">
        <f t="shared" si="0"/>
        <v>89.34210526315789</v>
      </c>
      <c r="I45" s="113">
        <f t="shared" si="1"/>
        <v>89.933774834437088</v>
      </c>
      <c r="J45" s="113">
        <f t="shared" si="2"/>
        <v>111.92930780559647</v>
      </c>
    </row>
    <row r="46" spans="1:10" ht="25.15" customHeight="1" x14ac:dyDescent="0.2">
      <c r="A46" s="12"/>
      <c r="B46" s="111" t="s">
        <v>317</v>
      </c>
      <c r="C46" s="15" t="s">
        <v>25</v>
      </c>
      <c r="D46" s="22">
        <f>'PL.2 TH (chi tiet)'!K152</f>
        <v>49000</v>
      </c>
      <c r="E46" s="22">
        <f>'PL.2 TH (chi tiet)'!L152</f>
        <v>58000</v>
      </c>
      <c r="F46" s="22">
        <f>'PL.2 TH (chi tiet)'!N152</f>
        <v>58000</v>
      </c>
      <c r="G46" s="22">
        <f>'PL.2 TH (chi tiet)'!O152</f>
        <v>62460</v>
      </c>
      <c r="H46" s="88">
        <f t="shared" si="0"/>
        <v>100</v>
      </c>
      <c r="I46" s="88">
        <f t="shared" si="1"/>
        <v>118.36734693877551</v>
      </c>
      <c r="J46" s="88">
        <f t="shared" si="2"/>
        <v>107.68965517241381</v>
      </c>
    </row>
    <row r="47" spans="1:10" ht="25.15" customHeight="1" x14ac:dyDescent="0.2">
      <c r="A47" s="12"/>
      <c r="B47" s="111" t="s">
        <v>318</v>
      </c>
      <c r="C47" s="15" t="s">
        <v>320</v>
      </c>
      <c r="D47" s="22">
        <f>'PL.2 TH (chi tiet)'!K155</f>
        <v>650000</v>
      </c>
      <c r="E47" s="22">
        <f>'PL.2 TH (chi tiet)'!L155</f>
        <v>780000</v>
      </c>
      <c r="F47" s="22">
        <f>'PL.2 TH (chi tiet)'!N155</f>
        <v>780000</v>
      </c>
      <c r="G47" s="22">
        <f>'PL.2 TH (chi tiet)'!O155</f>
        <v>900000</v>
      </c>
      <c r="H47" s="88">
        <f t="shared" si="0"/>
        <v>100</v>
      </c>
      <c r="I47" s="88">
        <f t="shared" si="1"/>
        <v>120</v>
      </c>
      <c r="J47" s="88">
        <f t="shared" si="2"/>
        <v>115.38461538461537</v>
      </c>
    </row>
    <row r="48" spans="1:10" ht="25.15" customHeight="1" x14ac:dyDescent="0.2">
      <c r="A48" s="12"/>
      <c r="B48" s="111" t="s">
        <v>319</v>
      </c>
      <c r="C48" s="15" t="s">
        <v>321</v>
      </c>
      <c r="D48" s="22">
        <f>'PL.2 TH (chi tiet)'!K154</f>
        <v>51000</v>
      </c>
      <c r="E48" s="22">
        <f>'PL.2 TH (chi tiet)'!L154</f>
        <v>55000</v>
      </c>
      <c r="F48" s="22">
        <f>'PL.2 TH (chi tiet)'!N154</f>
        <v>49800</v>
      </c>
      <c r="G48" s="22">
        <f>'PL.2 TH (chi tiet)'!O154</f>
        <v>55000</v>
      </c>
      <c r="H48" s="88">
        <f t="shared" si="0"/>
        <v>90.545454545454547</v>
      </c>
      <c r="I48" s="88">
        <f t="shared" si="1"/>
        <v>97.647058823529406</v>
      </c>
      <c r="J48" s="88">
        <f t="shared" si="2"/>
        <v>110.44176706827309</v>
      </c>
    </row>
    <row r="49" spans="1:10" ht="25.15" customHeight="1" x14ac:dyDescent="0.2">
      <c r="A49" s="7" t="s">
        <v>14</v>
      </c>
      <c r="B49" s="23" t="s">
        <v>16</v>
      </c>
      <c r="C49" s="15"/>
      <c r="D49" s="24"/>
      <c r="E49" s="24"/>
      <c r="F49" s="112"/>
      <c r="G49" s="94"/>
      <c r="H49" s="88" t="str">
        <f t="shared" si="0"/>
        <v/>
      </c>
      <c r="I49" s="88" t="str">
        <f t="shared" si="1"/>
        <v/>
      </c>
      <c r="J49" s="88" t="str">
        <f t="shared" si="2"/>
        <v/>
      </c>
    </row>
    <row r="50" spans="1:10" ht="33" customHeight="1" x14ac:dyDescent="0.2">
      <c r="A50" s="7"/>
      <c r="B50" s="25" t="s">
        <v>29</v>
      </c>
      <c r="C50" s="15" t="s">
        <v>6</v>
      </c>
      <c r="D50" s="26">
        <f>'PL.2 TH (chi tiet)'!K208</f>
        <v>99.4</v>
      </c>
      <c r="E50" s="26">
        <f>'PL.2 TH (chi tiet)'!L208</f>
        <v>99.6</v>
      </c>
      <c r="F50" s="26">
        <f>'PL.2 TH (chi tiet)'!N208</f>
        <v>99.6</v>
      </c>
      <c r="G50" s="26">
        <f>'PL.2 TH (chi tiet)'!O208</f>
        <v>99.8</v>
      </c>
      <c r="H50" s="88">
        <f t="shared" si="0"/>
        <v>100</v>
      </c>
      <c r="I50" s="88">
        <f t="shared" si="1"/>
        <v>100.20120724346076</v>
      </c>
      <c r="J50" s="88">
        <f t="shared" si="2"/>
        <v>100.20080321285141</v>
      </c>
    </row>
    <row r="51" spans="1:10" ht="48.75" customHeight="1" x14ac:dyDescent="0.2">
      <c r="A51" s="12"/>
      <c r="B51" s="25" t="s">
        <v>204</v>
      </c>
      <c r="C51" s="15" t="s">
        <v>6</v>
      </c>
      <c r="D51" s="26">
        <f>'PL.2 TH (chi tiet)'!K209</f>
        <v>66.2</v>
      </c>
      <c r="E51" s="26">
        <f>'PL.2 TH (chi tiet)'!L209</f>
        <v>68</v>
      </c>
      <c r="F51" s="26">
        <f>'PL.2 TH (chi tiet)'!N209</f>
        <v>68</v>
      </c>
      <c r="G51" s="26">
        <f>'PL.2 TH (chi tiet)'!O209</f>
        <v>70</v>
      </c>
      <c r="H51" s="88">
        <f t="shared" si="0"/>
        <v>100</v>
      </c>
      <c r="I51" s="88">
        <f t="shared" si="1"/>
        <v>102.71903323262839</v>
      </c>
      <c r="J51" s="88">
        <f t="shared" si="2"/>
        <v>102.94117647058823</v>
      </c>
    </row>
    <row r="52" spans="1:10" ht="38.25" customHeight="1" x14ac:dyDescent="0.2">
      <c r="A52" s="12"/>
      <c r="B52" s="25" t="s">
        <v>30</v>
      </c>
      <c r="C52" s="15" t="s">
        <v>6</v>
      </c>
      <c r="D52" s="26">
        <f>'PL.2 TH (chi tiet)'!K211</f>
        <v>16.3</v>
      </c>
      <c r="E52" s="26">
        <f>'PL.2 TH (chi tiet)'!L211</f>
        <v>16.3</v>
      </c>
      <c r="F52" s="26">
        <f>'PL.2 TH (chi tiet)'!N211</f>
        <v>16.3</v>
      </c>
      <c r="G52" s="26">
        <f>'PL.2 TH (chi tiet)'!O211</f>
        <v>16.3</v>
      </c>
      <c r="H52" s="88">
        <f t="shared" si="0"/>
        <v>100</v>
      </c>
      <c r="I52" s="88">
        <f t="shared" si="1"/>
        <v>100</v>
      </c>
      <c r="J52" s="88">
        <f t="shared" si="2"/>
        <v>100</v>
      </c>
    </row>
    <row r="53" spans="1:10" ht="30.2" customHeight="1" x14ac:dyDescent="0.2">
      <c r="A53" s="12"/>
      <c r="B53" s="25" t="s">
        <v>322</v>
      </c>
      <c r="C53" s="15" t="s">
        <v>20</v>
      </c>
      <c r="D53" s="114">
        <f>D54</f>
        <v>58330</v>
      </c>
      <c r="E53" s="114">
        <f t="shared" ref="E53:G53" si="9">E54</f>
        <v>66569.09</v>
      </c>
      <c r="F53" s="114">
        <f t="shared" si="9"/>
        <v>66569.09</v>
      </c>
      <c r="G53" s="114">
        <f t="shared" si="9"/>
        <v>66750</v>
      </c>
      <c r="H53" s="88">
        <f t="shared" si="0"/>
        <v>100</v>
      </c>
      <c r="I53" s="88">
        <f t="shared" si="1"/>
        <v>114.12496142636721</v>
      </c>
      <c r="J53" s="88">
        <f t="shared" si="2"/>
        <v>100.27176276557184</v>
      </c>
    </row>
    <row r="54" spans="1:10" ht="26.45" customHeight="1" x14ac:dyDescent="0.2">
      <c r="A54" s="12"/>
      <c r="B54" s="25" t="s">
        <v>323</v>
      </c>
      <c r="C54" s="15" t="s">
        <v>20</v>
      </c>
      <c r="D54" s="116">
        <f>'PL.2 TH (chi tiet)'!K160</f>
        <v>58330</v>
      </c>
      <c r="E54" s="116">
        <f>'PL.2 TH (chi tiet)'!L160</f>
        <v>66569.09</v>
      </c>
      <c r="F54" s="116">
        <f>'PL.2 TH (chi tiet)'!N160</f>
        <v>66569.09</v>
      </c>
      <c r="G54" s="116">
        <f>'PL.2 TH (chi tiet)'!O160</f>
        <v>66750</v>
      </c>
      <c r="H54" s="88">
        <f t="shared" si="0"/>
        <v>100</v>
      </c>
      <c r="I54" s="88">
        <f t="shared" si="1"/>
        <v>114.12496142636721</v>
      </c>
      <c r="J54" s="88">
        <f t="shared" si="2"/>
        <v>100.27176276557184</v>
      </c>
    </row>
    <row r="55" spans="1:10" ht="25.15" customHeight="1" x14ac:dyDescent="0.2">
      <c r="A55" s="7" t="s">
        <v>7</v>
      </c>
      <c r="B55" s="23" t="s">
        <v>34</v>
      </c>
      <c r="C55" s="15"/>
      <c r="D55" s="24"/>
      <c r="E55" s="24"/>
      <c r="F55" s="94"/>
      <c r="G55" s="94"/>
      <c r="H55" s="88" t="str">
        <f t="shared" si="0"/>
        <v/>
      </c>
      <c r="I55" s="88" t="str">
        <f t="shared" si="1"/>
        <v/>
      </c>
      <c r="J55" s="88" t="str">
        <f t="shared" si="2"/>
        <v/>
      </c>
    </row>
    <row r="56" spans="1:10" ht="25.15" customHeight="1" x14ac:dyDescent="0.2">
      <c r="A56" s="12"/>
      <c r="B56" s="13" t="s">
        <v>33</v>
      </c>
      <c r="C56" s="15" t="s">
        <v>17</v>
      </c>
      <c r="D56" s="116">
        <f>+'PL.2 TH (chi tiet)'!K202</f>
        <v>61</v>
      </c>
      <c r="E56" s="116">
        <f>+'PL.2 TH (chi tiet)'!L202</f>
        <v>65</v>
      </c>
      <c r="F56" s="116">
        <f>+'PL.2 TH (chi tiet)'!N202</f>
        <v>65</v>
      </c>
      <c r="G56" s="116">
        <f>+'PL.2 TH (chi tiet)'!O202</f>
        <v>68</v>
      </c>
      <c r="H56" s="88">
        <f t="shared" si="0"/>
        <v>100</v>
      </c>
      <c r="I56" s="88">
        <f t="shared" si="1"/>
        <v>106.55737704918033</v>
      </c>
      <c r="J56" s="88">
        <f t="shared" si="2"/>
        <v>104.61538461538463</v>
      </c>
    </row>
    <row r="57" spans="1:10" ht="36" customHeight="1" x14ac:dyDescent="0.2">
      <c r="A57" s="12"/>
      <c r="B57" s="28" t="s">
        <v>32</v>
      </c>
      <c r="C57" s="15" t="s">
        <v>6</v>
      </c>
      <c r="D57" s="131">
        <f>+'PL.2 TH (chi tiet)'!K203</f>
        <v>85.91549295774648</v>
      </c>
      <c r="E57" s="131">
        <f>+'PL.2 TH (chi tiet)'!L203</f>
        <v>91.549295774647888</v>
      </c>
      <c r="F57" s="131">
        <f>+'PL.2 TH (chi tiet)'!N203</f>
        <v>91.549295774647888</v>
      </c>
      <c r="G57" s="131">
        <f>+'PL.2 TH (chi tiet)'!O203</f>
        <v>95.774647887323937</v>
      </c>
      <c r="H57" s="88">
        <f t="shared" si="0"/>
        <v>100</v>
      </c>
      <c r="I57" s="88">
        <f t="shared" si="1"/>
        <v>106.55737704918033</v>
      </c>
      <c r="J57" s="88">
        <f t="shared" si="2"/>
        <v>104.6153846153846</v>
      </c>
    </row>
    <row r="58" spans="1:10" ht="36" customHeight="1" x14ac:dyDescent="0.2">
      <c r="A58" s="12"/>
      <c r="B58" s="28" t="s">
        <v>331</v>
      </c>
      <c r="C58" s="15" t="s">
        <v>18</v>
      </c>
      <c r="D58" s="131">
        <f>+'PL.2 TH (chi tiet)'!K205</f>
        <v>17.600000000000001</v>
      </c>
      <c r="E58" s="131">
        <f>+'PL.2 TH (chi tiet)'!L205</f>
        <v>18.600000000000001</v>
      </c>
      <c r="F58" s="131">
        <f>+'PL.2 TH (chi tiet)'!N205</f>
        <v>18.600000000000001</v>
      </c>
      <c r="G58" s="131">
        <f>+'PL.2 TH (chi tiet)'!O205</f>
        <v>18.8</v>
      </c>
      <c r="H58" s="88">
        <f t="shared" si="0"/>
        <v>100</v>
      </c>
      <c r="I58" s="88">
        <f t="shared" si="1"/>
        <v>105.68181818181819</v>
      </c>
      <c r="J58" s="88">
        <f t="shared" si="2"/>
        <v>101.0752688172043</v>
      </c>
    </row>
    <row r="59" spans="1:10" ht="40.700000000000003" customHeight="1" x14ac:dyDescent="0.2">
      <c r="A59" s="12"/>
      <c r="B59" s="28" t="s">
        <v>327</v>
      </c>
      <c r="C59" s="15" t="s">
        <v>326</v>
      </c>
      <c r="D59" s="116">
        <f>+'PL.2 TH (chi tiet)'!K206</f>
        <v>1</v>
      </c>
      <c r="E59" s="116">
        <f>+'PL.2 TH (chi tiet)'!L206</f>
        <v>3</v>
      </c>
      <c r="F59" s="116">
        <f>+'PL.2 TH (chi tiet)'!N206</f>
        <v>3</v>
      </c>
      <c r="G59" s="116">
        <f>+'PL.2 TH (chi tiet)'!O206</f>
        <v>4</v>
      </c>
      <c r="H59" s="88">
        <f t="shared" si="0"/>
        <v>100</v>
      </c>
      <c r="I59" s="88">
        <f t="shared" si="1"/>
        <v>300</v>
      </c>
      <c r="J59" s="88">
        <f t="shared" si="2"/>
        <v>133.33333333333331</v>
      </c>
    </row>
    <row r="60" spans="1:10" ht="32.25" customHeight="1" x14ac:dyDescent="0.2">
      <c r="A60" s="12"/>
      <c r="B60" s="28" t="str">
        <f>'[1]PL.2 TH'!B198</f>
        <v>Số xã đạt chuẩn nông thôn mới nâng cao</v>
      </c>
      <c r="C60" s="15" t="s">
        <v>17</v>
      </c>
      <c r="D60" s="116">
        <f>+'PL.2 TH (chi tiet)'!K204</f>
        <v>17</v>
      </c>
      <c r="E60" s="116">
        <f>+'PL.2 TH (chi tiet)'!L204</f>
        <v>25</v>
      </c>
      <c r="F60" s="116">
        <f>+'PL.2 TH (chi tiet)'!N204</f>
        <v>25</v>
      </c>
      <c r="G60" s="116">
        <f>+'PL.2 TH (chi tiet)'!O204</f>
        <v>25</v>
      </c>
      <c r="H60" s="88">
        <f t="shared" si="0"/>
        <v>100</v>
      </c>
      <c r="I60" s="88">
        <f t="shared" si="1"/>
        <v>147.05882352941177</v>
      </c>
      <c r="J60" s="88">
        <f>IFERROR(G60/F60*100,"")</f>
        <v>100</v>
      </c>
    </row>
    <row r="61" spans="1:10" ht="32.25" customHeight="1" x14ac:dyDescent="0.2">
      <c r="A61" s="12"/>
      <c r="B61" s="28" t="s">
        <v>385</v>
      </c>
      <c r="C61" s="15" t="s">
        <v>17</v>
      </c>
      <c r="D61" s="131">
        <f>+D60/71*100</f>
        <v>23.943661971830984</v>
      </c>
      <c r="E61" s="131">
        <f t="shared" ref="E61:G61" si="10">+E60/71*100</f>
        <v>35.2112676056338</v>
      </c>
      <c r="F61" s="131">
        <f t="shared" si="10"/>
        <v>35.2112676056338</v>
      </c>
      <c r="G61" s="131">
        <f t="shared" si="10"/>
        <v>35.2112676056338</v>
      </c>
      <c r="H61" s="88">
        <f t="shared" ref="H61" si="11">IFERROR(F61/E61*100,"")</f>
        <v>100</v>
      </c>
      <c r="I61" s="88">
        <f t="shared" ref="I61" si="12">IFERROR(F61/D61*100,"")</f>
        <v>147.05882352941177</v>
      </c>
      <c r="J61" s="88">
        <f>IFERROR(G61/F61*100,"")</f>
        <v>100</v>
      </c>
    </row>
    <row r="62" spans="1:10" ht="32.25" customHeight="1" x14ac:dyDescent="0.2">
      <c r="A62" s="12"/>
      <c r="B62" s="28" t="s">
        <v>202</v>
      </c>
      <c r="C62" s="130" t="s">
        <v>203</v>
      </c>
      <c r="D62" s="119">
        <f>'PL.2 TH (chi tiet)'!K213</f>
        <v>106</v>
      </c>
      <c r="E62" s="119">
        <f>'PL.2 TH (chi tiet)'!L213</f>
        <v>108</v>
      </c>
      <c r="F62" s="119">
        <f>'PL.2 TH (chi tiet)'!N213</f>
        <v>109</v>
      </c>
      <c r="G62" s="119">
        <f>'PL.2 TH (chi tiet)'!O213</f>
        <v>112</v>
      </c>
      <c r="H62" s="120">
        <v>100.23395516693417</v>
      </c>
      <c r="I62" s="121">
        <v>102.23863427027284</v>
      </c>
      <c r="J62" s="122">
        <v>103.01646495387232</v>
      </c>
    </row>
    <row r="63" spans="1:10" s="126" customFormat="1" ht="34.5" hidden="1" customHeight="1" x14ac:dyDescent="0.2">
      <c r="A63" s="125"/>
      <c r="B63" s="287" t="s">
        <v>334</v>
      </c>
      <c r="C63" s="287"/>
      <c r="D63" s="287"/>
      <c r="E63" s="287"/>
      <c r="F63" s="287"/>
      <c r="G63" s="287"/>
      <c r="H63" s="287"/>
      <c r="I63" s="287"/>
      <c r="J63" s="287"/>
    </row>
  </sheetData>
  <mergeCells count="11">
    <mergeCell ref="B63:J63"/>
    <mergeCell ref="A1:J1"/>
    <mergeCell ref="A2:J2"/>
    <mergeCell ref="A3:A4"/>
    <mergeCell ref="B3:B4"/>
    <mergeCell ref="C3:C4"/>
    <mergeCell ref="D3:D4"/>
    <mergeCell ref="E3:E4"/>
    <mergeCell ref="F3:F4"/>
    <mergeCell ref="G3:G4"/>
    <mergeCell ref="H3:J3"/>
  </mergeCells>
  <pageMargins left="0.4" right="0.2" top="0.41" bottom="0.34" header="0.2" footer="0.2"/>
  <pageSetup paperSize="9" scale="64" fitToHeight="0" orientation="portrait"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67195-A209-4DE9-827A-BD360BCF1A42}">
  <sheetPr codeName="Sheet4">
    <pageSetUpPr fitToPage="1"/>
  </sheetPr>
  <dimension ref="A1:U232"/>
  <sheetViews>
    <sheetView tabSelected="1" zoomScale="90" zoomScaleNormal="90" workbookViewId="0">
      <pane xSplit="8" ySplit="6" topLeftCell="I207" activePane="bottomRight" state="frozen"/>
      <selection pane="topRight" activeCell="I1" sqref="I1"/>
      <selection pane="bottomLeft" activeCell="A7" sqref="A7"/>
      <selection pane="bottomRight" activeCell="V209" sqref="V209"/>
    </sheetView>
  </sheetViews>
  <sheetFormatPr defaultColWidth="9.140625" defaultRowHeight="12.75" x14ac:dyDescent="0.2"/>
  <cols>
    <col min="1" max="1" width="4.85546875" style="132" customWidth="1"/>
    <col min="2" max="2" width="30.28515625" style="132" customWidth="1"/>
    <col min="3" max="3" width="9.42578125" style="132" customWidth="1"/>
    <col min="4" max="6" width="9.140625" style="132" hidden="1" customWidth="1"/>
    <col min="7" max="7" width="9" style="132" hidden="1" customWidth="1"/>
    <col min="8" max="8" width="9.140625" style="132" hidden="1" customWidth="1"/>
    <col min="9" max="9" width="12.7109375" style="132" hidden="1" customWidth="1"/>
    <col min="10" max="10" width="11.85546875" style="132" hidden="1" customWidth="1"/>
    <col min="11" max="11" width="14.28515625" style="132" bestFit="1" customWidth="1"/>
    <col min="12" max="12" width="11" style="132" customWidth="1"/>
    <col min="13" max="13" width="11.42578125" style="132" hidden="1" customWidth="1"/>
    <col min="14" max="14" width="12" style="139" customWidth="1"/>
    <col min="15" max="15" width="12.140625" style="132" customWidth="1"/>
    <col min="16" max="16" width="9.140625" style="132"/>
    <col min="17" max="17" width="9.140625" style="132" customWidth="1"/>
    <col min="18" max="16384" width="9.140625" style="132"/>
  </cols>
  <sheetData>
    <row r="1" spans="1:18" ht="14.25" x14ac:dyDescent="0.2">
      <c r="A1" s="303" t="s">
        <v>375</v>
      </c>
      <c r="B1" s="303"/>
      <c r="C1" s="303"/>
      <c r="D1" s="303"/>
      <c r="E1" s="303"/>
      <c r="F1" s="303"/>
      <c r="G1" s="303"/>
      <c r="H1" s="303"/>
      <c r="I1" s="303"/>
      <c r="J1" s="303"/>
      <c r="K1" s="303"/>
      <c r="L1" s="303"/>
      <c r="M1" s="303"/>
      <c r="N1" s="303"/>
      <c r="O1" s="303"/>
      <c r="P1" s="303"/>
      <c r="Q1" s="303"/>
      <c r="R1" s="303"/>
    </row>
    <row r="2" spans="1:18" ht="16.5" x14ac:dyDescent="0.2">
      <c r="A2" s="304" t="s">
        <v>386</v>
      </c>
      <c r="B2" s="304"/>
      <c r="C2" s="304"/>
      <c r="D2" s="304"/>
      <c r="E2" s="304"/>
      <c r="F2" s="304"/>
      <c r="G2" s="304"/>
      <c r="H2" s="304"/>
      <c r="I2" s="304"/>
      <c r="J2" s="304"/>
      <c r="K2" s="304"/>
      <c r="L2" s="304"/>
      <c r="M2" s="304"/>
      <c r="N2" s="304"/>
      <c r="O2" s="304"/>
      <c r="P2" s="304"/>
      <c r="Q2" s="304"/>
      <c r="R2" s="304"/>
    </row>
    <row r="3" spans="1:18" ht="16.5" x14ac:dyDescent="0.2">
      <c r="A3" s="302" t="s">
        <v>393</v>
      </c>
      <c r="B3" s="302"/>
      <c r="C3" s="302"/>
      <c r="D3" s="302"/>
      <c r="E3" s="302"/>
      <c r="F3" s="302"/>
      <c r="G3" s="302"/>
      <c r="H3" s="302"/>
      <c r="I3" s="302"/>
      <c r="J3" s="302"/>
      <c r="K3" s="302"/>
      <c r="L3" s="302"/>
      <c r="M3" s="302"/>
      <c r="N3" s="302"/>
      <c r="O3" s="302"/>
      <c r="P3" s="302"/>
      <c r="Q3" s="302"/>
      <c r="R3" s="302"/>
    </row>
    <row r="4" spans="1:18" ht="14.25" x14ac:dyDescent="0.2">
      <c r="A4" s="133"/>
      <c r="B4" s="133"/>
      <c r="C4" s="133"/>
      <c r="D4" s="133"/>
      <c r="E4" s="133"/>
      <c r="F4" s="133"/>
      <c r="G4" s="133"/>
      <c r="H4" s="133"/>
      <c r="I4" s="133"/>
      <c r="J4" s="133"/>
      <c r="K4" s="133"/>
      <c r="L4" s="133"/>
      <c r="M4" s="133"/>
      <c r="N4" s="140"/>
      <c r="O4" s="133"/>
      <c r="P4" s="133"/>
      <c r="Q4" s="133"/>
      <c r="R4" s="133"/>
    </row>
    <row r="5" spans="1:18" ht="26.45" customHeight="1" x14ac:dyDescent="0.2">
      <c r="A5" s="297" t="s">
        <v>0</v>
      </c>
      <c r="B5" s="297" t="s">
        <v>35</v>
      </c>
      <c r="C5" s="297" t="s">
        <v>36</v>
      </c>
      <c r="D5" s="305" t="s">
        <v>37</v>
      </c>
      <c r="E5" s="305" t="s">
        <v>38</v>
      </c>
      <c r="F5" s="305" t="s">
        <v>39</v>
      </c>
      <c r="G5" s="297" t="s">
        <v>40</v>
      </c>
      <c r="H5" s="297" t="s">
        <v>265</v>
      </c>
      <c r="I5" s="297" t="s">
        <v>41</v>
      </c>
      <c r="J5" s="297" t="s">
        <v>345</v>
      </c>
      <c r="K5" s="297" t="s">
        <v>359</v>
      </c>
      <c r="L5" s="299" t="s">
        <v>360</v>
      </c>
      <c r="M5" s="300"/>
      <c r="N5" s="301"/>
      <c r="O5" s="297" t="s">
        <v>361</v>
      </c>
      <c r="P5" s="305" t="s">
        <v>312</v>
      </c>
      <c r="Q5" s="305"/>
      <c r="R5" s="305"/>
    </row>
    <row r="6" spans="1:18" ht="30.2" customHeight="1" x14ac:dyDescent="0.2">
      <c r="A6" s="298"/>
      <c r="B6" s="298"/>
      <c r="C6" s="298"/>
      <c r="D6" s="305"/>
      <c r="E6" s="305"/>
      <c r="F6" s="305"/>
      <c r="G6" s="298"/>
      <c r="H6" s="298"/>
      <c r="I6" s="298"/>
      <c r="J6" s="298"/>
      <c r="K6" s="298"/>
      <c r="L6" s="285" t="s">
        <v>362</v>
      </c>
      <c r="M6" s="285" t="s">
        <v>363</v>
      </c>
      <c r="N6" s="285" t="s">
        <v>364</v>
      </c>
      <c r="O6" s="298"/>
      <c r="P6" s="286" t="s">
        <v>365</v>
      </c>
      <c r="Q6" s="286" t="s">
        <v>366</v>
      </c>
      <c r="R6" s="286" t="s">
        <v>367</v>
      </c>
    </row>
    <row r="7" spans="1:18" ht="28.5" hidden="1" x14ac:dyDescent="0.2">
      <c r="A7" s="141" t="s">
        <v>3</v>
      </c>
      <c r="B7" s="142" t="s">
        <v>43</v>
      </c>
      <c r="C7" s="141" t="s">
        <v>44</v>
      </c>
      <c r="D7" s="143">
        <f t="shared" ref="D7:I7" si="0">D8+D12+D16</f>
        <v>23851000</v>
      </c>
      <c r="E7" s="143">
        <f t="shared" si="0"/>
        <v>24938113</v>
      </c>
      <c r="F7" s="143">
        <f t="shared" si="0"/>
        <v>25656802.734826725</v>
      </c>
      <c r="G7" s="143">
        <f t="shared" si="0"/>
        <v>25914000</v>
      </c>
      <c r="H7" s="143">
        <f t="shared" si="0"/>
        <v>26018625</v>
      </c>
      <c r="I7" s="143">
        <f t="shared" si="0"/>
        <v>26521297</v>
      </c>
      <c r="J7" s="143">
        <f>J8+J12+J16</f>
        <v>26157946.707977608</v>
      </c>
      <c r="K7" s="143">
        <f>K8+K12+K16</f>
        <v>28180090.686837889</v>
      </c>
      <c r="L7" s="143"/>
      <c r="M7" s="143">
        <f>M8+M12+M16</f>
        <v>28180090.686837889</v>
      </c>
      <c r="N7" s="143"/>
      <c r="O7" s="143">
        <f>O8+O12+O16</f>
        <v>0</v>
      </c>
      <c r="P7" s="144">
        <f>IFERROR(M7/K7*100,"")</f>
        <v>100</v>
      </c>
      <c r="Q7" s="144">
        <f>IFERROR(M7/J7*100,"")</f>
        <v>107.73051494230459</v>
      </c>
      <c r="R7" s="144">
        <f>IFERROR(O7/M7*100,"")</f>
        <v>0</v>
      </c>
    </row>
    <row r="8" spans="1:18" ht="15" hidden="1" x14ac:dyDescent="0.2">
      <c r="A8" s="31">
        <v>1</v>
      </c>
      <c r="B8" s="32" t="s">
        <v>45</v>
      </c>
      <c r="C8" s="31" t="s">
        <v>44</v>
      </c>
      <c r="D8" s="33">
        <f>D9+D10+D11</f>
        <v>23093000</v>
      </c>
      <c r="E8" s="33">
        <f>E9+E10+E11</f>
        <v>24187942</v>
      </c>
      <c r="F8" s="145">
        <f>F9+F10+F11</f>
        <v>24926925</v>
      </c>
      <c r="G8" s="33">
        <f>G9+G10+G11</f>
        <v>25168000</v>
      </c>
      <c r="H8" s="33">
        <f>H9+H10+H11</f>
        <v>25306295</v>
      </c>
      <c r="I8" s="33">
        <f>SUM(I9:I11)</f>
        <v>25793490</v>
      </c>
      <c r="J8" s="33">
        <f>J9+J10+J11</f>
        <v>25469281.395977609</v>
      </c>
      <c r="K8" s="33">
        <f>K9+K10+K11</f>
        <v>27413844.750677887</v>
      </c>
      <c r="L8" s="33"/>
      <c r="M8" s="33">
        <f>M9+M10+M11</f>
        <v>27413844.750677887</v>
      </c>
      <c r="N8" s="33"/>
      <c r="O8" s="33">
        <f>O9+O10+O11</f>
        <v>0</v>
      </c>
      <c r="P8" s="146">
        <f t="shared" ref="P8:P19" si="1">IFERROR(M8/K8*100,"")</f>
        <v>100</v>
      </c>
      <c r="Q8" s="147">
        <f t="shared" ref="Q8:Q19" si="2">IFERROR(M8/J8*100,"")</f>
        <v>107.63493608032218</v>
      </c>
      <c r="R8" s="146">
        <f t="shared" ref="R8:R19" si="3">IFERROR(O8/M8*100,"")</f>
        <v>0</v>
      </c>
    </row>
    <row r="9" spans="1:18" ht="15" hidden="1" x14ac:dyDescent="0.2">
      <c r="A9" s="34"/>
      <c r="B9" s="35" t="s">
        <v>46</v>
      </c>
      <c r="C9" s="34" t="s">
        <v>44</v>
      </c>
      <c r="D9" s="36">
        <v>18496000</v>
      </c>
      <c r="E9" s="36">
        <v>19253740</v>
      </c>
      <c r="F9" s="148">
        <v>19753350</v>
      </c>
      <c r="G9" s="148">
        <v>19750360</v>
      </c>
      <c r="H9" s="148">
        <v>19569150</v>
      </c>
      <c r="I9" s="148">
        <v>19492195</v>
      </c>
      <c r="J9" s="36">
        <f>'Sheet phu-GTSX'!G4</f>
        <v>18911277.99597761</v>
      </c>
      <c r="K9" s="36">
        <f>'Sheet phu-GTSX'!H4</f>
        <v>20296147.393677887</v>
      </c>
      <c r="L9" s="36"/>
      <c r="M9" s="36">
        <f>K9</f>
        <v>20296147.393677887</v>
      </c>
      <c r="N9" s="36"/>
      <c r="O9" s="36">
        <f>'Sheet phu-GTSX'!J4</f>
        <v>0</v>
      </c>
      <c r="P9" s="149">
        <f t="shared" si="1"/>
        <v>100</v>
      </c>
      <c r="Q9" s="150">
        <f t="shared" si="2"/>
        <v>107.32298154569371</v>
      </c>
      <c r="R9" s="149">
        <f t="shared" si="3"/>
        <v>0</v>
      </c>
    </row>
    <row r="10" spans="1:18" ht="15" hidden="1" x14ac:dyDescent="0.2">
      <c r="A10" s="34"/>
      <c r="B10" s="35" t="s">
        <v>47</v>
      </c>
      <c r="C10" s="34" t="s">
        <v>44</v>
      </c>
      <c r="D10" s="36">
        <v>3150000</v>
      </c>
      <c r="E10" s="36">
        <v>3348308</v>
      </c>
      <c r="F10" s="148">
        <v>3483444</v>
      </c>
      <c r="G10" s="148">
        <v>3658550</v>
      </c>
      <c r="H10" s="148">
        <v>3929145</v>
      </c>
      <c r="I10" s="148">
        <v>4454125</v>
      </c>
      <c r="J10" s="36">
        <f>'Sheet phu-GTSX'!G58</f>
        <v>4651503.4000000004</v>
      </c>
      <c r="K10" s="36">
        <f>'Sheet phu-GTSX'!H58</f>
        <v>5207197.3569999998</v>
      </c>
      <c r="L10" s="36"/>
      <c r="M10" s="36">
        <f>K10</f>
        <v>5207197.3569999998</v>
      </c>
      <c r="N10" s="36"/>
      <c r="O10" s="36">
        <f>'Sheet phu-GTSX'!J58</f>
        <v>0</v>
      </c>
      <c r="P10" s="150">
        <f t="shared" si="1"/>
        <v>100</v>
      </c>
      <c r="Q10" s="150">
        <f t="shared" si="2"/>
        <v>111.94654521804712</v>
      </c>
      <c r="R10" s="149">
        <f t="shared" si="3"/>
        <v>0</v>
      </c>
    </row>
    <row r="11" spans="1:18" ht="15" hidden="1" x14ac:dyDescent="0.2">
      <c r="A11" s="34"/>
      <c r="B11" s="35" t="s">
        <v>48</v>
      </c>
      <c r="C11" s="34" t="s">
        <v>44</v>
      </c>
      <c r="D11" s="36">
        <v>1447000</v>
      </c>
      <c r="E11" s="36">
        <v>1585894</v>
      </c>
      <c r="F11" s="148">
        <v>1690131</v>
      </c>
      <c r="G11" s="148">
        <f>1758773+317</f>
        <v>1759090</v>
      </c>
      <c r="H11" s="36">
        <v>1808000</v>
      </c>
      <c r="I11" s="36">
        <v>1847170</v>
      </c>
      <c r="J11" s="36">
        <v>1906500</v>
      </c>
      <c r="K11" s="36">
        <v>1910500</v>
      </c>
      <c r="L11" s="36"/>
      <c r="M11" s="36">
        <v>1910500</v>
      </c>
      <c r="N11" s="36"/>
      <c r="O11" s="36"/>
      <c r="P11" s="149">
        <f t="shared" si="1"/>
        <v>100</v>
      </c>
      <c r="Q11" s="150">
        <f t="shared" si="2"/>
        <v>100.20980854969841</v>
      </c>
      <c r="R11" s="149">
        <f t="shared" si="3"/>
        <v>0</v>
      </c>
    </row>
    <row r="12" spans="1:18" ht="15" hidden="1" x14ac:dyDescent="0.2">
      <c r="A12" s="31">
        <v>2</v>
      </c>
      <c r="B12" s="32" t="s">
        <v>49</v>
      </c>
      <c r="C12" s="31" t="s">
        <v>44</v>
      </c>
      <c r="D12" s="33">
        <f>D13+D14+D15</f>
        <v>329999.99999999994</v>
      </c>
      <c r="E12" s="33">
        <v>314082</v>
      </c>
      <c r="F12" s="151">
        <f t="shared" ref="F12:M12" si="4">F13+F14+F15</f>
        <v>301611.73482672492</v>
      </c>
      <c r="G12" s="151">
        <f t="shared" si="4"/>
        <v>318000</v>
      </c>
      <c r="H12" s="151">
        <f t="shared" si="4"/>
        <v>282080</v>
      </c>
      <c r="I12" s="151">
        <f t="shared" si="4"/>
        <v>240009</v>
      </c>
      <c r="J12" s="151">
        <f>J13+J14+J15</f>
        <v>240736</v>
      </c>
      <c r="K12" s="151">
        <f>K13+K14+K15</f>
        <v>241342</v>
      </c>
      <c r="L12" s="151"/>
      <c r="M12" s="151">
        <f t="shared" si="4"/>
        <v>241342</v>
      </c>
      <c r="N12" s="151"/>
      <c r="O12" s="151">
        <f>O13+O14+O15</f>
        <v>0</v>
      </c>
      <c r="P12" s="152">
        <f t="shared" si="1"/>
        <v>100</v>
      </c>
      <c r="Q12" s="153">
        <f t="shared" si="2"/>
        <v>100.25172803402897</v>
      </c>
      <c r="R12" s="152">
        <f t="shared" si="3"/>
        <v>0</v>
      </c>
    </row>
    <row r="13" spans="1:18" ht="15" hidden="1" x14ac:dyDescent="0.2">
      <c r="A13" s="34"/>
      <c r="B13" s="35" t="s">
        <v>50</v>
      </c>
      <c r="C13" s="34" t="s">
        <v>44</v>
      </c>
      <c r="D13" s="36">
        <v>11896.959221637424</v>
      </c>
      <c r="E13" s="36">
        <v>9995</v>
      </c>
      <c r="F13" s="148">
        <f>5878</f>
        <v>5878</v>
      </c>
      <c r="G13" s="36">
        <v>5800</v>
      </c>
      <c r="H13" s="36">
        <v>7360</v>
      </c>
      <c r="I13" s="36">
        <v>6282</v>
      </c>
      <c r="J13" s="36">
        <v>6000</v>
      </c>
      <c r="K13" s="36">
        <v>6376</v>
      </c>
      <c r="L13" s="36"/>
      <c r="M13" s="36">
        <v>6376</v>
      </c>
      <c r="N13" s="36"/>
      <c r="O13" s="36"/>
      <c r="P13" s="149">
        <f t="shared" si="1"/>
        <v>100</v>
      </c>
      <c r="Q13" s="149">
        <f t="shared" si="2"/>
        <v>106.26666666666667</v>
      </c>
      <c r="R13" s="149">
        <f t="shared" si="3"/>
        <v>0</v>
      </c>
    </row>
    <row r="14" spans="1:18" ht="15" hidden="1" x14ac:dyDescent="0.2">
      <c r="A14" s="34"/>
      <c r="B14" s="35" t="s">
        <v>51</v>
      </c>
      <c r="C14" s="34" t="s">
        <v>44</v>
      </c>
      <c r="D14" s="36">
        <v>310101.87850666058</v>
      </c>
      <c r="E14" s="36">
        <v>296262</v>
      </c>
      <c r="F14" s="148">
        <v>287517.10668820638</v>
      </c>
      <c r="G14" s="36">
        <v>303030</v>
      </c>
      <c r="H14" s="36">
        <v>265840</v>
      </c>
      <c r="I14" s="36">
        <f>223669+2928</f>
        <v>226597</v>
      </c>
      <c r="J14" s="36">
        <v>224778</v>
      </c>
      <c r="K14" s="36">
        <v>224993</v>
      </c>
      <c r="L14" s="36"/>
      <c r="M14" s="36">
        <v>224993</v>
      </c>
      <c r="N14" s="36"/>
      <c r="O14" s="36"/>
      <c r="P14" s="149">
        <f t="shared" si="1"/>
        <v>100</v>
      </c>
      <c r="Q14" s="149">
        <f t="shared" si="2"/>
        <v>100.0956499301533</v>
      </c>
      <c r="R14" s="149">
        <f t="shared" si="3"/>
        <v>0</v>
      </c>
    </row>
    <row r="15" spans="1:18" ht="15" hidden="1" x14ac:dyDescent="0.2">
      <c r="A15" s="34"/>
      <c r="B15" s="35" t="s">
        <v>48</v>
      </c>
      <c r="C15" s="34" t="s">
        <v>44</v>
      </c>
      <c r="D15" s="36">
        <v>8001.1622717019791</v>
      </c>
      <c r="E15" s="36">
        <v>7825</v>
      </c>
      <c r="F15" s="148">
        <v>8216.6281385185212</v>
      </c>
      <c r="G15" s="36">
        <v>9170</v>
      </c>
      <c r="H15" s="36">
        <v>8880</v>
      </c>
      <c r="I15" s="36">
        <v>7130</v>
      </c>
      <c r="J15" s="36">
        <v>9958</v>
      </c>
      <c r="K15" s="36">
        <v>9973</v>
      </c>
      <c r="L15" s="36"/>
      <c r="M15" s="36">
        <v>9973</v>
      </c>
      <c r="N15" s="36"/>
      <c r="O15" s="36"/>
      <c r="P15" s="149">
        <f t="shared" si="1"/>
        <v>100</v>
      </c>
      <c r="Q15" s="149">
        <f t="shared" si="2"/>
        <v>100.15063265716006</v>
      </c>
      <c r="R15" s="149">
        <f t="shared" si="3"/>
        <v>0</v>
      </c>
    </row>
    <row r="16" spans="1:18" ht="15" hidden="1" x14ac:dyDescent="0.2">
      <c r="A16" s="31">
        <v>3</v>
      </c>
      <c r="B16" s="32" t="s">
        <v>52</v>
      </c>
      <c r="C16" s="31" t="s">
        <v>44</v>
      </c>
      <c r="D16" s="33">
        <f>D17+D18+D19</f>
        <v>428000</v>
      </c>
      <c r="E16" s="33">
        <v>436089</v>
      </c>
      <c r="F16" s="151">
        <f t="shared" ref="F16:M16" si="5">F17+F18+F19</f>
        <v>428266</v>
      </c>
      <c r="G16" s="151">
        <f t="shared" si="5"/>
        <v>428000</v>
      </c>
      <c r="H16" s="33">
        <f t="shared" si="5"/>
        <v>430250</v>
      </c>
      <c r="I16" s="33">
        <f t="shared" si="5"/>
        <v>487798</v>
      </c>
      <c r="J16" s="33">
        <f>J17+J18+J19</f>
        <v>447929.31199999998</v>
      </c>
      <c r="K16" s="33">
        <f>K17+K18+K19</f>
        <v>524903.93616000004</v>
      </c>
      <c r="L16" s="33"/>
      <c r="M16" s="33">
        <f t="shared" si="5"/>
        <v>524903.93616000004</v>
      </c>
      <c r="N16" s="33"/>
      <c r="O16" s="33">
        <f>O17+O18+O19</f>
        <v>0</v>
      </c>
      <c r="P16" s="146">
        <f t="shared" si="1"/>
        <v>100</v>
      </c>
      <c r="Q16" s="146">
        <f t="shared" si="2"/>
        <v>117.18454722605875</v>
      </c>
      <c r="R16" s="146">
        <f t="shared" si="3"/>
        <v>0</v>
      </c>
    </row>
    <row r="17" spans="1:18" ht="15" hidden="1" x14ac:dyDescent="0.2">
      <c r="A17" s="34"/>
      <c r="B17" s="35" t="s">
        <v>53</v>
      </c>
      <c r="C17" s="34" t="s">
        <v>44</v>
      </c>
      <c r="D17" s="36">
        <v>344580.27591134876</v>
      </c>
      <c r="E17" s="36">
        <v>326398</v>
      </c>
      <c r="F17" s="148">
        <v>319266</v>
      </c>
      <c r="G17" s="148">
        <v>324443.09752511466</v>
      </c>
      <c r="H17" s="36">
        <v>325500</v>
      </c>
      <c r="I17" s="36">
        <v>378917</v>
      </c>
      <c r="J17" s="36">
        <f>'Sheet phu-GTSX'!G73</f>
        <v>373999.87199999997</v>
      </c>
      <c r="K17" s="36">
        <f>'Sheet phu-GTSX'!H73</f>
        <v>447226.87008000002</v>
      </c>
      <c r="L17" s="36"/>
      <c r="M17" s="36">
        <f>K17</f>
        <v>447226.87008000002</v>
      </c>
      <c r="N17" s="36"/>
      <c r="O17" s="36">
        <f>'Sheet phu-GTSX'!J73</f>
        <v>0</v>
      </c>
      <c r="P17" s="149">
        <f t="shared" si="1"/>
        <v>100</v>
      </c>
      <c r="Q17" s="149">
        <f t="shared" si="2"/>
        <v>119.57941795231417</v>
      </c>
      <c r="R17" s="149">
        <f t="shared" si="3"/>
        <v>0</v>
      </c>
    </row>
    <row r="18" spans="1:18" ht="15" hidden="1" x14ac:dyDescent="0.2">
      <c r="A18" s="34"/>
      <c r="B18" s="35" t="s">
        <v>54</v>
      </c>
      <c r="C18" s="34" t="s">
        <v>44</v>
      </c>
      <c r="D18" s="36">
        <v>77824.997983104171</v>
      </c>
      <c r="E18" s="36">
        <v>78080</v>
      </c>
      <c r="F18" s="148">
        <v>78000</v>
      </c>
      <c r="G18" s="148">
        <v>75352.433806938585</v>
      </c>
      <c r="H18" s="36">
        <v>75250</v>
      </c>
      <c r="I18" s="36">
        <v>79381</v>
      </c>
      <c r="J18" s="36">
        <f>'Sheet phu-GTSX'!G69</f>
        <v>48159.08</v>
      </c>
      <c r="K18" s="36">
        <f>'Sheet phu-GTSX'!H69</f>
        <v>43350.946559999997</v>
      </c>
      <c r="L18" s="36"/>
      <c r="M18" s="36">
        <f>K18</f>
        <v>43350.946559999997</v>
      </c>
      <c r="N18" s="36"/>
      <c r="O18" s="36">
        <f>'Sheet phu-GTSX'!J69</f>
        <v>0</v>
      </c>
      <c r="P18" s="149">
        <f t="shared" si="1"/>
        <v>100</v>
      </c>
      <c r="Q18" s="149">
        <f t="shared" si="2"/>
        <v>90.016143497757838</v>
      </c>
      <c r="R18" s="149">
        <f t="shared" si="3"/>
        <v>0</v>
      </c>
    </row>
    <row r="19" spans="1:18" ht="15" hidden="1" x14ac:dyDescent="0.2">
      <c r="A19" s="34"/>
      <c r="B19" s="35" t="s">
        <v>48</v>
      </c>
      <c r="C19" s="34" t="s">
        <v>44</v>
      </c>
      <c r="D19" s="36">
        <v>5594.7261055470399</v>
      </c>
      <c r="E19" s="36">
        <f>E16-E17-E18</f>
        <v>31611</v>
      </c>
      <c r="F19" s="148">
        <v>31000</v>
      </c>
      <c r="G19" s="148">
        <v>28204.468667946767</v>
      </c>
      <c r="H19" s="36">
        <v>29500</v>
      </c>
      <c r="I19" s="36">
        <v>29500</v>
      </c>
      <c r="J19" s="36">
        <f>'Sheet phu-GTSX'!G77</f>
        <v>25770.36</v>
      </c>
      <c r="K19" s="36">
        <f>'Sheet phu-GTSX'!H77</f>
        <v>34326.11952</v>
      </c>
      <c r="L19" s="36"/>
      <c r="M19" s="36">
        <f>K19</f>
        <v>34326.11952</v>
      </c>
      <c r="N19" s="36"/>
      <c r="O19" s="36">
        <f>'Sheet phu-GTSX'!J77</f>
        <v>0</v>
      </c>
      <c r="P19" s="149">
        <f t="shared" si="1"/>
        <v>100</v>
      </c>
      <c r="Q19" s="149">
        <f t="shared" si="2"/>
        <v>133.20000000000002</v>
      </c>
      <c r="R19" s="149">
        <f t="shared" si="3"/>
        <v>0</v>
      </c>
    </row>
    <row r="20" spans="1:18" ht="27" customHeight="1" x14ac:dyDescent="0.2">
      <c r="A20" s="37" t="s">
        <v>3</v>
      </c>
      <c r="B20" s="38" t="s">
        <v>55</v>
      </c>
      <c r="C20" s="37"/>
      <c r="D20" s="36"/>
      <c r="E20" s="36"/>
      <c r="F20" s="154"/>
      <c r="G20" s="36"/>
      <c r="H20" s="36"/>
      <c r="I20" s="36"/>
      <c r="J20" s="36"/>
      <c r="K20" s="155"/>
      <c r="L20" s="36"/>
      <c r="M20" s="36"/>
      <c r="N20" s="36"/>
      <c r="O20" s="36"/>
      <c r="P20" s="149"/>
      <c r="Q20" s="149"/>
      <c r="R20" s="149"/>
    </row>
    <row r="21" spans="1:18" ht="15" x14ac:dyDescent="0.2">
      <c r="A21" s="37">
        <v>1</v>
      </c>
      <c r="B21" s="38" t="s">
        <v>56</v>
      </c>
      <c r="C21" s="156"/>
      <c r="D21" s="36"/>
      <c r="E21" s="36"/>
      <c r="F21" s="154"/>
      <c r="G21" s="36"/>
      <c r="H21" s="36"/>
      <c r="I21" s="36"/>
      <c r="J21" s="36"/>
      <c r="K21" s="155"/>
      <c r="L21" s="36"/>
      <c r="M21" s="36"/>
      <c r="N21" s="36"/>
      <c r="O21" s="36"/>
      <c r="P21" s="149"/>
      <c r="Q21" s="149"/>
      <c r="R21" s="149"/>
    </row>
    <row r="22" spans="1:18" ht="14.25" x14ac:dyDescent="0.2">
      <c r="A22" s="157" t="s">
        <v>57</v>
      </c>
      <c r="B22" s="38" t="s">
        <v>46</v>
      </c>
      <c r="C22" s="37" t="s">
        <v>20</v>
      </c>
      <c r="D22" s="158">
        <f t="shared" ref="D22:J22" si="6">D23+D66</f>
        <v>382247</v>
      </c>
      <c r="E22" s="158">
        <f t="shared" si="6"/>
        <v>385124.2</v>
      </c>
      <c r="F22" s="158">
        <f t="shared" si="6"/>
        <v>387487.125</v>
      </c>
      <c r="G22" s="158">
        <f t="shared" si="6"/>
        <v>384393</v>
      </c>
      <c r="H22" s="158">
        <f t="shared" si="6"/>
        <v>377699.1</v>
      </c>
      <c r="I22" s="158">
        <f t="shared" si="6"/>
        <v>384640.44</v>
      </c>
      <c r="J22" s="158">
        <f t="shared" si="6"/>
        <v>385434.04000000004</v>
      </c>
      <c r="K22" s="159">
        <f>K23+K66</f>
        <v>389089.46599999996</v>
      </c>
      <c r="L22" s="159">
        <f t="shared" ref="L22:O22" si="7">L23+L66</f>
        <v>376462.31833333336</v>
      </c>
      <c r="M22" s="159">
        <f t="shared" si="7"/>
        <v>301457.55</v>
      </c>
      <c r="N22" s="159">
        <f t="shared" si="7"/>
        <v>386994.28333333333</v>
      </c>
      <c r="O22" s="159">
        <f t="shared" si="7"/>
        <v>385640.3</v>
      </c>
      <c r="P22" s="160">
        <f t="shared" ref="P22:P24" si="8">IFERROR(N22/L22*100,"")</f>
        <v>102.79761465812219</v>
      </c>
      <c r="Q22" s="160">
        <f t="shared" ref="Q22:Q24" si="9">IFERROR(N22/K22*100,"")</f>
        <v>99.461516476350283</v>
      </c>
      <c r="R22" s="160">
        <f t="shared" ref="R22:R24" si="10">IFERROR(O22/N22*100,"")</f>
        <v>99.650128337382412</v>
      </c>
    </row>
    <row r="23" spans="1:18" ht="15" x14ac:dyDescent="0.2">
      <c r="A23" s="31" t="s">
        <v>58</v>
      </c>
      <c r="B23" s="32" t="s">
        <v>59</v>
      </c>
      <c r="C23" s="31" t="s">
        <v>20</v>
      </c>
      <c r="D23" s="33">
        <f t="shared" ref="D23:I23" si="11">D24+D31+D41+D48+D63</f>
        <v>261830</v>
      </c>
      <c r="E23" s="33">
        <f t="shared" si="11"/>
        <v>265052.2</v>
      </c>
      <c r="F23" s="33">
        <f t="shared" si="11"/>
        <v>265681.125</v>
      </c>
      <c r="G23" s="33">
        <f t="shared" si="11"/>
        <v>259751</v>
      </c>
      <c r="H23" s="33">
        <f t="shared" si="11"/>
        <v>256013.1</v>
      </c>
      <c r="I23" s="33">
        <f t="shared" si="11"/>
        <v>256152.44</v>
      </c>
      <c r="J23" s="33">
        <f>J24+J31+J41+J48+J63</f>
        <v>255559.92</v>
      </c>
      <c r="K23" s="161">
        <f>K24+K31+K41+K48+K63</f>
        <v>259464.28999999998</v>
      </c>
      <c r="L23" s="161">
        <f t="shared" ref="L23:O23" si="12">L24+L31+L41+L48+L63</f>
        <v>245650</v>
      </c>
      <c r="M23" s="161">
        <f t="shared" si="12"/>
        <v>172078.3</v>
      </c>
      <c r="N23" s="161">
        <f t="shared" si="12"/>
        <v>258797.75</v>
      </c>
      <c r="O23" s="161">
        <f t="shared" si="12"/>
        <v>257501.53333333333</v>
      </c>
      <c r="P23" s="162">
        <f t="shared" si="8"/>
        <v>105.35222878078568</v>
      </c>
      <c r="Q23" s="162">
        <f t="shared" si="9"/>
        <v>99.743109157718777</v>
      </c>
      <c r="R23" s="162">
        <f t="shared" si="10"/>
        <v>99.499139128270357</v>
      </c>
    </row>
    <row r="24" spans="1:18" ht="15" x14ac:dyDescent="0.2">
      <c r="A24" s="31" t="s">
        <v>60</v>
      </c>
      <c r="B24" s="32" t="s">
        <v>61</v>
      </c>
      <c r="C24" s="31" t="s">
        <v>20</v>
      </c>
      <c r="D24" s="33">
        <v>149347</v>
      </c>
      <c r="E24" s="33">
        <v>148933</v>
      </c>
      <c r="F24" s="145">
        <v>152706</v>
      </c>
      <c r="G24" s="33">
        <f t="shared" ref="G24:I24" si="13">G25+G28</f>
        <v>155226</v>
      </c>
      <c r="H24" s="33">
        <f t="shared" si="13"/>
        <v>154050</v>
      </c>
      <c r="I24" s="33">
        <f t="shared" si="13"/>
        <v>152404</v>
      </c>
      <c r="J24" s="33">
        <f>J25+J28</f>
        <v>153147.6</v>
      </c>
      <c r="K24" s="161">
        <f>K25+K28</f>
        <v>152839.97</v>
      </c>
      <c r="L24" s="161">
        <f t="shared" ref="L24:O24" si="14">L25+L28</f>
        <v>140120</v>
      </c>
      <c r="M24" s="161">
        <f t="shared" si="14"/>
        <v>93933.5</v>
      </c>
      <c r="N24" s="161">
        <f t="shared" si="14"/>
        <v>153556.07</v>
      </c>
      <c r="O24" s="161">
        <f t="shared" si="14"/>
        <v>151800</v>
      </c>
      <c r="P24" s="162">
        <f t="shared" si="8"/>
        <v>109.58897373679703</v>
      </c>
      <c r="Q24" s="162">
        <f t="shared" si="9"/>
        <v>100.46852927280739</v>
      </c>
      <c r="R24" s="162">
        <f t="shared" si="10"/>
        <v>98.85639818732011</v>
      </c>
    </row>
    <row r="25" spans="1:18" ht="15" x14ac:dyDescent="0.2">
      <c r="A25" s="34"/>
      <c r="B25" s="35" t="s">
        <v>62</v>
      </c>
      <c r="C25" s="34" t="s">
        <v>20</v>
      </c>
      <c r="D25" s="36">
        <v>144395</v>
      </c>
      <c r="E25" s="36">
        <v>144575</v>
      </c>
      <c r="F25" s="163">
        <v>147808</v>
      </c>
      <c r="G25" s="36">
        <v>149465</v>
      </c>
      <c r="H25" s="36">
        <v>149065</v>
      </c>
      <c r="I25" s="164">
        <v>147679</v>
      </c>
      <c r="J25" s="36">
        <v>148078.83000000002</v>
      </c>
      <c r="K25" s="155">
        <v>147696.54999999999</v>
      </c>
      <c r="L25" s="155">
        <v>135000</v>
      </c>
      <c r="M25" s="155">
        <v>90089.5</v>
      </c>
      <c r="N25" s="155">
        <v>148487.67000000001</v>
      </c>
      <c r="O25" s="155">
        <v>146700</v>
      </c>
      <c r="P25" s="165">
        <f>IFERROR(N25/L25*100,"")</f>
        <v>109.99086666666669</v>
      </c>
      <c r="Q25" s="165">
        <f>IFERROR(N25/K25*100,"")</f>
        <v>100.53563878100064</v>
      </c>
      <c r="R25" s="165">
        <f>IFERROR(O25/N25*100,"")</f>
        <v>98.796081856493529</v>
      </c>
    </row>
    <row r="26" spans="1:18" ht="15" x14ac:dyDescent="0.2">
      <c r="A26" s="166"/>
      <c r="B26" s="167" t="s">
        <v>63</v>
      </c>
      <c r="C26" s="166" t="s">
        <v>24</v>
      </c>
      <c r="D26" s="149">
        <v>52.7</v>
      </c>
      <c r="E26" s="150">
        <v>52.57</v>
      </c>
      <c r="F26" s="168">
        <v>53.4</v>
      </c>
      <c r="G26" s="150">
        <f>G27/G25*10</f>
        <v>54.393871474927238</v>
      </c>
      <c r="H26" s="149">
        <v>54.12</v>
      </c>
      <c r="I26" s="169">
        <v>54.1</v>
      </c>
      <c r="J26" s="149">
        <v>54.31256446313089</v>
      </c>
      <c r="K26" s="165">
        <v>54.759128767733571</v>
      </c>
      <c r="L26" s="165">
        <v>56</v>
      </c>
      <c r="M26" s="165">
        <v>58</v>
      </c>
      <c r="N26" s="165">
        <v>55.31</v>
      </c>
      <c r="O26" s="165">
        <v>56</v>
      </c>
      <c r="P26" s="165">
        <f t="shared" ref="P26:P89" si="15">IFERROR(N26/L26*100,"")</f>
        <v>98.767857142857153</v>
      </c>
      <c r="Q26" s="165">
        <f t="shared" ref="Q26:Q89" si="16">IFERROR(N26/K26*100,"")</f>
        <v>101.00598976766597</v>
      </c>
      <c r="R26" s="165">
        <f t="shared" ref="R26:R89" si="17">IFERROR(O26/N26*100,"")</f>
        <v>101.24751401193275</v>
      </c>
    </row>
    <row r="27" spans="1:18" ht="15" x14ac:dyDescent="0.2">
      <c r="A27" s="34"/>
      <c r="B27" s="35" t="s">
        <v>64</v>
      </c>
      <c r="C27" s="34" t="s">
        <v>25</v>
      </c>
      <c r="D27" s="36">
        <v>760847</v>
      </c>
      <c r="E27" s="36">
        <v>760073</v>
      </c>
      <c r="F27" s="163">
        <v>788913</v>
      </c>
      <c r="G27" s="36">
        <v>812998</v>
      </c>
      <c r="H27" s="36">
        <v>806719</v>
      </c>
      <c r="I27" s="164">
        <v>806719</v>
      </c>
      <c r="J27" s="36">
        <f>J26*J25/10</f>
        <v>804254.10000000009</v>
      </c>
      <c r="K27" s="155">
        <v>808773.44</v>
      </c>
      <c r="L27" s="155">
        <v>756000</v>
      </c>
      <c r="M27" s="155">
        <f>M25*M26/10</f>
        <v>522519.1</v>
      </c>
      <c r="N27" s="155">
        <f>N25*N26/10</f>
        <v>821285.30277000018</v>
      </c>
      <c r="O27" s="155">
        <f>O25*O26/10</f>
        <v>821520</v>
      </c>
      <c r="P27" s="165">
        <f t="shared" si="15"/>
        <v>108.63562205952384</v>
      </c>
      <c r="Q27" s="165">
        <f t="shared" si="16"/>
        <v>101.54701701999515</v>
      </c>
      <c r="R27" s="165">
        <f t="shared" si="17"/>
        <v>100.02857682089382</v>
      </c>
    </row>
    <row r="28" spans="1:18" ht="15" x14ac:dyDescent="0.2">
      <c r="A28" s="34"/>
      <c r="B28" s="35" t="s">
        <v>65</v>
      </c>
      <c r="C28" s="34" t="s">
        <v>20</v>
      </c>
      <c r="D28" s="36">
        <v>4952</v>
      </c>
      <c r="E28" s="36">
        <v>4359</v>
      </c>
      <c r="F28" s="148">
        <v>4898</v>
      </c>
      <c r="G28" s="36">
        <v>5761</v>
      </c>
      <c r="H28" s="148">
        <v>4985</v>
      </c>
      <c r="I28" s="164">
        <v>4725</v>
      </c>
      <c r="J28" s="170">
        <v>5068.7699999999995</v>
      </c>
      <c r="K28" s="171">
        <v>5143.420000000001</v>
      </c>
      <c r="L28" s="171">
        <v>5120</v>
      </c>
      <c r="M28" s="171">
        <v>3844</v>
      </c>
      <c r="N28" s="171">
        <v>5068.3999999999996</v>
      </c>
      <c r="O28" s="171">
        <v>5100</v>
      </c>
      <c r="P28" s="165">
        <f t="shared" si="15"/>
        <v>98.9921875</v>
      </c>
      <c r="Q28" s="165">
        <f t="shared" si="16"/>
        <v>98.541437409350181</v>
      </c>
      <c r="R28" s="165">
        <f t="shared" si="17"/>
        <v>100.62347091784389</v>
      </c>
    </row>
    <row r="29" spans="1:18" ht="15" x14ac:dyDescent="0.2">
      <c r="A29" s="166"/>
      <c r="B29" s="167" t="s">
        <v>66</v>
      </c>
      <c r="C29" s="166" t="s">
        <v>24</v>
      </c>
      <c r="D29" s="149">
        <v>55.7</v>
      </c>
      <c r="E29" s="150">
        <v>56.223038090867369</v>
      </c>
      <c r="F29" s="168">
        <v>56.64148632094733</v>
      </c>
      <c r="G29" s="150">
        <f>G30/G28*10</f>
        <v>56.309668460336752</v>
      </c>
      <c r="H29" s="172">
        <v>56.65</v>
      </c>
      <c r="I29" s="169">
        <v>57.9</v>
      </c>
      <c r="J29" s="173">
        <v>58.413636049771455</v>
      </c>
      <c r="K29" s="174">
        <v>58.769660778895371</v>
      </c>
      <c r="L29" s="174">
        <v>59.2</v>
      </c>
      <c r="M29" s="174">
        <v>61.5</v>
      </c>
      <c r="N29" s="174">
        <v>59</v>
      </c>
      <c r="O29" s="174">
        <v>59.5</v>
      </c>
      <c r="P29" s="165">
        <f t="shared" si="15"/>
        <v>99.662162162162161</v>
      </c>
      <c r="Q29" s="165">
        <f t="shared" si="16"/>
        <v>100.39193559746961</v>
      </c>
      <c r="R29" s="165">
        <f t="shared" si="17"/>
        <v>100.84745762711864</v>
      </c>
    </row>
    <row r="30" spans="1:18" ht="15" x14ac:dyDescent="0.25">
      <c r="A30" s="34"/>
      <c r="B30" s="35" t="s">
        <v>67</v>
      </c>
      <c r="C30" s="34" t="s">
        <v>25</v>
      </c>
      <c r="D30" s="36">
        <v>27602</v>
      </c>
      <c r="E30" s="36">
        <v>24502</v>
      </c>
      <c r="F30" s="163">
        <v>27743</v>
      </c>
      <c r="G30" s="36">
        <v>32440</v>
      </c>
      <c r="H30" s="163">
        <v>28238</v>
      </c>
      <c r="I30" s="164">
        <v>27344</v>
      </c>
      <c r="J30" s="175">
        <v>29000</v>
      </c>
      <c r="K30" s="176">
        <v>30227.704864338612</v>
      </c>
      <c r="L30" s="176">
        <v>30310.400000000001</v>
      </c>
      <c r="M30" s="155">
        <f>M28*M29/10</f>
        <v>23640.6</v>
      </c>
      <c r="N30" s="176">
        <f>N28*N29/10</f>
        <v>29903.559999999998</v>
      </c>
      <c r="O30" s="176">
        <v>30523.5</v>
      </c>
      <c r="P30" s="165">
        <f t="shared" si="15"/>
        <v>98.657754434121614</v>
      </c>
      <c r="Q30" s="165">
        <f t="shared" si="16"/>
        <v>98.927656380815648</v>
      </c>
      <c r="R30" s="165">
        <f t="shared" si="17"/>
        <v>102.07313109208403</v>
      </c>
    </row>
    <row r="31" spans="1:18" ht="15" x14ac:dyDescent="0.2">
      <c r="A31" s="31" t="s">
        <v>68</v>
      </c>
      <c r="B31" s="32" t="s">
        <v>69</v>
      </c>
      <c r="C31" s="31" t="s">
        <v>20</v>
      </c>
      <c r="D31" s="33">
        <v>58385</v>
      </c>
      <c r="E31" s="33">
        <v>62314.2</v>
      </c>
      <c r="F31" s="151">
        <v>56707.125</v>
      </c>
      <c r="G31" s="151">
        <f t="shared" ref="G31:I31" si="18">G32+G35+G38</f>
        <v>50220</v>
      </c>
      <c r="H31" s="151">
        <f t="shared" si="18"/>
        <v>53076</v>
      </c>
      <c r="I31" s="151">
        <f t="shared" si="18"/>
        <v>58321.239999999991</v>
      </c>
      <c r="J31" s="177">
        <f>J32+J35+J38</f>
        <v>60181.5</v>
      </c>
      <c r="K31" s="178">
        <f>K32+K35+K38</f>
        <v>62799.19000000001</v>
      </c>
      <c r="L31" s="178">
        <f t="shared" ref="L31:O31" si="19">L32+L35+L38</f>
        <v>62080</v>
      </c>
      <c r="M31" s="178">
        <f t="shared" si="19"/>
        <v>47698</v>
      </c>
      <c r="N31" s="178">
        <f>N32+N35+N38</f>
        <v>62991.799999999996</v>
      </c>
      <c r="O31" s="178">
        <f t="shared" si="19"/>
        <v>62746</v>
      </c>
      <c r="P31" s="162">
        <f t="shared" si="15"/>
        <v>101.46875</v>
      </c>
      <c r="Q31" s="162">
        <f t="shared" si="16"/>
        <v>100.30670777760029</v>
      </c>
      <c r="R31" s="162">
        <f t="shared" si="17"/>
        <v>99.609790480665751</v>
      </c>
    </row>
    <row r="32" spans="1:18" ht="15" x14ac:dyDescent="0.2">
      <c r="A32" s="34"/>
      <c r="B32" s="35" t="s">
        <v>70</v>
      </c>
      <c r="C32" s="34" t="s">
        <v>20</v>
      </c>
      <c r="D32" s="36">
        <v>8</v>
      </c>
      <c r="E32" s="149">
        <v>0.2</v>
      </c>
      <c r="F32" s="148">
        <v>15</v>
      </c>
      <c r="G32" s="36">
        <v>6</v>
      </c>
      <c r="H32" s="148">
        <v>260</v>
      </c>
      <c r="I32" s="179">
        <v>66</v>
      </c>
      <c r="J32" s="170">
        <v>27</v>
      </c>
      <c r="K32" s="180">
        <v>1</v>
      </c>
      <c r="L32" s="171">
        <v>10</v>
      </c>
      <c r="M32" s="180">
        <v>7</v>
      </c>
      <c r="N32" s="181">
        <v>3.6</v>
      </c>
      <c r="O32" s="171">
        <v>6</v>
      </c>
      <c r="P32" s="165">
        <f t="shared" si="15"/>
        <v>36</v>
      </c>
      <c r="Q32" s="165">
        <f t="shared" si="16"/>
        <v>360</v>
      </c>
      <c r="R32" s="165">
        <f t="shared" si="17"/>
        <v>166.66666666666666</v>
      </c>
    </row>
    <row r="33" spans="1:18" ht="15" x14ac:dyDescent="0.2">
      <c r="A33" s="34"/>
      <c r="B33" s="167" t="s">
        <v>71</v>
      </c>
      <c r="C33" s="166" t="s">
        <v>24</v>
      </c>
      <c r="D33" s="149">
        <v>106.5</v>
      </c>
      <c r="E33" s="149">
        <v>92.8</v>
      </c>
      <c r="F33" s="182">
        <v>116.7</v>
      </c>
      <c r="G33" s="149">
        <f>G34/G32*10</f>
        <v>117.5</v>
      </c>
      <c r="H33" s="172">
        <f>+H34/H32*10</f>
        <v>131.42307692307693</v>
      </c>
      <c r="I33" s="183">
        <v>138.80000000000001</v>
      </c>
      <c r="J33" s="183">
        <v>139.24074074074073</v>
      </c>
      <c r="K33" s="181">
        <v>137.6</v>
      </c>
      <c r="L33" s="181">
        <v>138</v>
      </c>
      <c r="M33" s="181">
        <v>138</v>
      </c>
      <c r="N33" s="181">
        <v>133</v>
      </c>
      <c r="O33" s="181">
        <v>137</v>
      </c>
      <c r="P33" s="165">
        <f t="shared" si="15"/>
        <v>96.376811594202891</v>
      </c>
      <c r="Q33" s="165">
        <f t="shared" si="16"/>
        <v>96.656976744186053</v>
      </c>
      <c r="R33" s="165">
        <f t="shared" si="17"/>
        <v>103.00751879699249</v>
      </c>
    </row>
    <row r="34" spans="1:18" ht="15" x14ac:dyDescent="0.2">
      <c r="A34" s="34"/>
      <c r="B34" s="35" t="s">
        <v>72</v>
      </c>
      <c r="C34" s="34" t="s">
        <v>25</v>
      </c>
      <c r="D34" s="36">
        <v>86</v>
      </c>
      <c r="E34" s="149">
        <v>2</v>
      </c>
      <c r="F34" s="163">
        <v>175</v>
      </c>
      <c r="G34" s="149">
        <v>70.5</v>
      </c>
      <c r="H34" s="163">
        <v>3417</v>
      </c>
      <c r="I34" s="183">
        <v>916.2</v>
      </c>
      <c r="J34" s="36">
        <f>J33*J32/10</f>
        <v>375.95</v>
      </c>
      <c r="K34" s="155">
        <v>13.76</v>
      </c>
      <c r="L34" s="155">
        <f>L32*L33/10</f>
        <v>138</v>
      </c>
      <c r="M34" s="155">
        <f>M32*M33/10</f>
        <v>96.6</v>
      </c>
      <c r="N34" s="165">
        <f>N32*N33/10</f>
        <v>47.88</v>
      </c>
      <c r="O34" s="155">
        <f t="shared" ref="O34" si="20">O32*O33/10</f>
        <v>82.2</v>
      </c>
      <c r="P34" s="165">
        <f t="shared" si="15"/>
        <v>34.695652173913047</v>
      </c>
      <c r="Q34" s="165">
        <f t="shared" si="16"/>
        <v>347.96511627906978</v>
      </c>
      <c r="R34" s="165">
        <f t="shared" si="17"/>
        <v>171.67919799498748</v>
      </c>
    </row>
    <row r="35" spans="1:18" ht="15" x14ac:dyDescent="0.2">
      <c r="A35" s="34"/>
      <c r="B35" s="35" t="s">
        <v>73</v>
      </c>
      <c r="C35" s="34" t="s">
        <v>20</v>
      </c>
      <c r="D35" s="36">
        <v>57608</v>
      </c>
      <c r="E35" s="36">
        <v>61637</v>
      </c>
      <c r="F35" s="148">
        <v>55940</v>
      </c>
      <c r="G35" s="36">
        <v>49242</v>
      </c>
      <c r="H35" s="148">
        <v>52316</v>
      </c>
      <c r="I35" s="179">
        <v>57149.639999999992</v>
      </c>
      <c r="J35" s="170">
        <v>59044.75</v>
      </c>
      <c r="K35" s="171">
        <v>61695.73000000001</v>
      </c>
      <c r="L35" s="171">
        <v>61000</v>
      </c>
      <c r="M35" s="171">
        <v>47200</v>
      </c>
      <c r="N35" s="171">
        <v>61870</v>
      </c>
      <c r="O35" s="171">
        <v>61600</v>
      </c>
      <c r="P35" s="165">
        <f t="shared" si="15"/>
        <v>101.42622950819673</v>
      </c>
      <c r="Q35" s="165">
        <f t="shared" si="16"/>
        <v>100.28246687412563</v>
      </c>
      <c r="R35" s="165">
        <f t="shared" si="17"/>
        <v>99.56360109907871</v>
      </c>
    </row>
    <row r="36" spans="1:18" ht="15" x14ac:dyDescent="0.2">
      <c r="A36" s="166"/>
      <c r="B36" s="167" t="s">
        <v>71</v>
      </c>
      <c r="C36" s="166" t="s">
        <v>24</v>
      </c>
      <c r="D36" s="149">
        <v>324.3</v>
      </c>
      <c r="E36" s="149">
        <v>328.37337962587407</v>
      </c>
      <c r="F36" s="182">
        <v>325.3151590990347</v>
      </c>
      <c r="G36" s="149">
        <f>G37/G35*10</f>
        <v>315.84744730108446</v>
      </c>
      <c r="H36" s="172">
        <v>319.5</v>
      </c>
      <c r="I36" s="183">
        <v>333.1</v>
      </c>
      <c r="J36" s="183">
        <v>329.7563034816813</v>
      </c>
      <c r="K36" s="181">
        <v>328.15135123020895</v>
      </c>
      <c r="L36" s="181">
        <v>335</v>
      </c>
      <c r="M36" s="181">
        <v>334</v>
      </c>
      <c r="N36" s="181">
        <v>332.5</v>
      </c>
      <c r="O36" s="181">
        <v>335</v>
      </c>
      <c r="P36" s="165">
        <f t="shared" si="15"/>
        <v>99.253731343283576</v>
      </c>
      <c r="Q36" s="165">
        <f t="shared" si="16"/>
        <v>101.32519605769971</v>
      </c>
      <c r="R36" s="165">
        <f t="shared" si="17"/>
        <v>100.75187969924812</v>
      </c>
    </row>
    <row r="37" spans="1:18" ht="15" x14ac:dyDescent="0.2">
      <c r="A37" s="34"/>
      <c r="B37" s="35" t="s">
        <v>72</v>
      </c>
      <c r="C37" s="34" t="s">
        <v>25</v>
      </c>
      <c r="D37" s="36">
        <v>1868305</v>
      </c>
      <c r="E37" s="36">
        <v>2023995</v>
      </c>
      <c r="F37" s="163">
        <v>1819813</v>
      </c>
      <c r="G37" s="36">
        <v>1555296</v>
      </c>
      <c r="H37" s="163">
        <v>1671482</v>
      </c>
      <c r="I37" s="170">
        <v>1903860</v>
      </c>
      <c r="J37" s="36">
        <f>J36*J35/10</f>
        <v>1947037.8500000003</v>
      </c>
      <c r="K37" s="155">
        <v>2024553.7164634143</v>
      </c>
      <c r="L37" s="155">
        <v>2043500</v>
      </c>
      <c r="M37" s="155">
        <f>M35*M36/10</f>
        <v>1576480</v>
      </c>
      <c r="N37" s="155">
        <f>N35*N36/10</f>
        <v>2057177.5</v>
      </c>
      <c r="O37" s="155">
        <f>+O36*O35/10</f>
        <v>2063600</v>
      </c>
      <c r="P37" s="165">
        <f t="shared" si="15"/>
        <v>100.66931734768778</v>
      </c>
      <c r="Q37" s="165">
        <f t="shared" si="16"/>
        <v>101.61140617170557</v>
      </c>
      <c r="R37" s="165">
        <f t="shared" si="17"/>
        <v>100.31219960358307</v>
      </c>
    </row>
    <row r="38" spans="1:18" ht="30" x14ac:dyDescent="0.2">
      <c r="A38" s="34"/>
      <c r="B38" s="35" t="s">
        <v>74</v>
      </c>
      <c r="C38" s="34" t="s">
        <v>20</v>
      </c>
      <c r="D38" s="36">
        <v>769</v>
      </c>
      <c r="E38" s="36">
        <v>677</v>
      </c>
      <c r="F38" s="148">
        <v>752.125</v>
      </c>
      <c r="G38" s="36">
        <v>972</v>
      </c>
      <c r="H38" s="148">
        <v>500</v>
      </c>
      <c r="I38" s="184">
        <v>1105.5999999999999</v>
      </c>
      <c r="J38" s="185">
        <v>1109.75</v>
      </c>
      <c r="K38" s="186">
        <v>1102.46</v>
      </c>
      <c r="L38" s="186">
        <v>1070</v>
      </c>
      <c r="M38" s="186">
        <v>491</v>
      </c>
      <c r="N38" s="186">
        <v>1118.2</v>
      </c>
      <c r="O38" s="186">
        <v>1140</v>
      </c>
      <c r="P38" s="165">
        <f t="shared" si="15"/>
        <v>104.50467289719627</v>
      </c>
      <c r="Q38" s="165">
        <f t="shared" si="16"/>
        <v>101.42771619832011</v>
      </c>
      <c r="R38" s="165">
        <f t="shared" si="17"/>
        <v>101.94956179574315</v>
      </c>
    </row>
    <row r="39" spans="1:18" ht="15" x14ac:dyDescent="0.2">
      <c r="A39" s="34"/>
      <c r="B39" s="35" t="s">
        <v>71</v>
      </c>
      <c r="C39" s="34"/>
      <c r="D39" s="149">
        <v>153.6</v>
      </c>
      <c r="E39" s="149">
        <v>161.32939438700149</v>
      </c>
      <c r="F39" s="182">
        <v>160</v>
      </c>
      <c r="G39" s="149">
        <f>G40/G38*10</f>
        <v>162.18106995884773</v>
      </c>
      <c r="H39" s="182">
        <v>160.54210780287065</v>
      </c>
      <c r="I39" s="183">
        <v>169.1</v>
      </c>
      <c r="J39" s="183">
        <v>166.9923541338139</v>
      </c>
      <c r="K39" s="181">
        <v>168.10809480616075</v>
      </c>
      <c r="L39" s="181">
        <v>172</v>
      </c>
      <c r="M39" s="181">
        <v>172</v>
      </c>
      <c r="N39" s="181">
        <v>172</v>
      </c>
      <c r="O39" s="181">
        <v>176.3693649353869</v>
      </c>
      <c r="P39" s="165">
        <f t="shared" si="15"/>
        <v>100</v>
      </c>
      <c r="Q39" s="165">
        <f t="shared" si="16"/>
        <v>102.31512063611623</v>
      </c>
      <c r="R39" s="165">
        <f t="shared" si="17"/>
        <v>102.54032845080634</v>
      </c>
    </row>
    <row r="40" spans="1:18" ht="15" x14ac:dyDescent="0.2">
      <c r="A40" s="34"/>
      <c r="B40" s="35" t="s">
        <v>72</v>
      </c>
      <c r="C40" s="34"/>
      <c r="D40" s="36">
        <v>11808</v>
      </c>
      <c r="E40" s="36">
        <v>10922</v>
      </c>
      <c r="F40" s="163">
        <v>12034</v>
      </c>
      <c r="G40" s="36">
        <v>15764</v>
      </c>
      <c r="H40" s="163">
        <f>+H39*H38/10</f>
        <v>8027.1053901435325</v>
      </c>
      <c r="I40" s="170">
        <v>18698</v>
      </c>
      <c r="J40" s="36">
        <f>J39*J38/10</f>
        <v>18531.976499999997</v>
      </c>
      <c r="K40" s="155">
        <v>18533.245019999998</v>
      </c>
      <c r="L40" s="155">
        <f>L38*L39/10</f>
        <v>18404</v>
      </c>
      <c r="M40" s="155">
        <f>M38*M39/10</f>
        <v>8445.2000000000007</v>
      </c>
      <c r="N40" s="155">
        <v>19200</v>
      </c>
      <c r="O40" s="155">
        <f>O38*O39/10</f>
        <v>20106.107602634107</v>
      </c>
      <c r="P40" s="165">
        <f t="shared" si="15"/>
        <v>104.32514670723756</v>
      </c>
      <c r="Q40" s="165">
        <f t="shared" si="16"/>
        <v>103.59761595597791</v>
      </c>
      <c r="R40" s="165">
        <f t="shared" si="17"/>
        <v>104.71931043038597</v>
      </c>
    </row>
    <row r="41" spans="1:18" ht="15" x14ac:dyDescent="0.2">
      <c r="A41" s="31" t="s">
        <v>75</v>
      </c>
      <c r="B41" s="32" t="s">
        <v>76</v>
      </c>
      <c r="C41" s="31" t="s">
        <v>20</v>
      </c>
      <c r="D41" s="33">
        <v>25331</v>
      </c>
      <c r="E41" s="33">
        <v>25901</v>
      </c>
      <c r="F41" s="151">
        <v>25194</v>
      </c>
      <c r="G41" s="33">
        <f t="shared" ref="G41:I41" si="21">G42+G45</f>
        <v>25511</v>
      </c>
      <c r="H41" s="151">
        <f t="shared" si="21"/>
        <v>24060</v>
      </c>
      <c r="I41" s="151">
        <f t="shared" si="21"/>
        <v>24879</v>
      </c>
      <c r="J41" s="177">
        <f>J42+J45</f>
        <v>23250.95</v>
      </c>
      <c r="K41" s="178">
        <f>K42+K45</f>
        <v>22358.43</v>
      </c>
      <c r="L41" s="178">
        <f t="shared" ref="L41:O41" si="22">L42+L45</f>
        <v>23700</v>
      </c>
      <c r="M41" s="178">
        <f t="shared" si="22"/>
        <v>16131</v>
      </c>
      <c r="N41" s="178">
        <f t="shared" si="22"/>
        <v>21950</v>
      </c>
      <c r="O41" s="178">
        <f t="shared" si="22"/>
        <v>22600</v>
      </c>
      <c r="P41" s="162">
        <f t="shared" si="15"/>
        <v>92.616033755274259</v>
      </c>
      <c r="Q41" s="162">
        <f t="shared" si="16"/>
        <v>98.173261718287023</v>
      </c>
      <c r="R41" s="162">
        <f t="shared" si="17"/>
        <v>102.9612756264237</v>
      </c>
    </row>
    <row r="42" spans="1:18" ht="15" x14ac:dyDescent="0.2">
      <c r="A42" s="34"/>
      <c r="B42" s="35" t="s">
        <v>77</v>
      </c>
      <c r="C42" s="34" t="s">
        <v>20</v>
      </c>
      <c r="D42" s="36">
        <v>19858</v>
      </c>
      <c r="E42" s="36">
        <v>19937</v>
      </c>
      <c r="F42" s="163">
        <v>19802</v>
      </c>
      <c r="G42" s="36">
        <v>20801</v>
      </c>
      <c r="H42" s="148">
        <v>20322</v>
      </c>
      <c r="I42" s="179">
        <v>20678</v>
      </c>
      <c r="J42" s="170">
        <v>19502.3</v>
      </c>
      <c r="K42" s="171">
        <v>19254.32</v>
      </c>
      <c r="L42" s="171">
        <v>20200</v>
      </c>
      <c r="M42" s="171">
        <v>13200.2</v>
      </c>
      <c r="N42" s="171">
        <v>19156</v>
      </c>
      <c r="O42" s="171">
        <v>19700</v>
      </c>
      <c r="P42" s="165">
        <f t="shared" si="15"/>
        <v>94.831683168316829</v>
      </c>
      <c r="Q42" s="165">
        <f t="shared" si="16"/>
        <v>99.489361348518159</v>
      </c>
      <c r="R42" s="165">
        <f t="shared" si="17"/>
        <v>102.839841302986</v>
      </c>
    </row>
    <row r="43" spans="1:18" ht="15" x14ac:dyDescent="0.2">
      <c r="A43" s="166"/>
      <c r="B43" s="167" t="s">
        <v>71</v>
      </c>
      <c r="C43" s="166" t="s">
        <v>24</v>
      </c>
      <c r="D43" s="149">
        <v>173.5</v>
      </c>
      <c r="E43" s="149">
        <v>177.27</v>
      </c>
      <c r="F43" s="168">
        <v>177.63811736188262</v>
      </c>
      <c r="G43" s="149">
        <f>G44/G42*10</f>
        <v>179.53704148838997</v>
      </c>
      <c r="H43" s="172">
        <v>182</v>
      </c>
      <c r="I43" s="170">
        <v>185</v>
      </c>
      <c r="J43" s="183">
        <v>181.42692160924608</v>
      </c>
      <c r="K43" s="181">
        <v>185.64773757265903</v>
      </c>
      <c r="L43" s="181">
        <v>186</v>
      </c>
      <c r="M43" s="181">
        <v>186</v>
      </c>
      <c r="N43" s="181">
        <v>187.31</v>
      </c>
      <c r="O43" s="181">
        <v>190</v>
      </c>
      <c r="P43" s="165">
        <f t="shared" si="15"/>
        <v>100.70430107526882</v>
      </c>
      <c r="Q43" s="165">
        <f t="shared" si="16"/>
        <v>100.89538523284745</v>
      </c>
      <c r="R43" s="165">
        <f t="shared" si="17"/>
        <v>101.43612193689606</v>
      </c>
    </row>
    <row r="44" spans="1:18" ht="15" x14ac:dyDescent="0.2">
      <c r="A44" s="34"/>
      <c r="B44" s="35" t="s">
        <v>72</v>
      </c>
      <c r="C44" s="34" t="s">
        <v>25</v>
      </c>
      <c r="D44" s="36">
        <v>344371</v>
      </c>
      <c r="E44" s="36">
        <v>353416</v>
      </c>
      <c r="F44" s="163">
        <v>351759</v>
      </c>
      <c r="G44" s="36">
        <v>373455</v>
      </c>
      <c r="H44" s="163">
        <f>+H43*H42/10</f>
        <v>369860.4</v>
      </c>
      <c r="I44" s="170">
        <v>381676</v>
      </c>
      <c r="J44" s="36">
        <f>J43*J42/10</f>
        <v>353824.22532999993</v>
      </c>
      <c r="K44" s="155">
        <v>357452.09464999998</v>
      </c>
      <c r="L44" s="155">
        <f>L42*L43/10</f>
        <v>375720</v>
      </c>
      <c r="M44" s="155">
        <f>M42*M43/10</f>
        <v>245523.72000000003</v>
      </c>
      <c r="N44" s="155">
        <f>N42*N43/10</f>
        <v>358811.03599999996</v>
      </c>
      <c r="O44" s="155">
        <f>+O43*O42/10</f>
        <v>374300</v>
      </c>
      <c r="P44" s="165">
        <f t="shared" si="15"/>
        <v>95.499583732566791</v>
      </c>
      <c r="Q44" s="165">
        <f t="shared" si="16"/>
        <v>100.38017439828701</v>
      </c>
      <c r="R44" s="165">
        <f t="shared" si="17"/>
        <v>104.31674682380729</v>
      </c>
    </row>
    <row r="45" spans="1:18" ht="15" x14ac:dyDescent="0.2">
      <c r="A45" s="34"/>
      <c r="B45" s="35" t="s">
        <v>78</v>
      </c>
      <c r="C45" s="34" t="s">
        <v>20</v>
      </c>
      <c r="D45" s="36">
        <v>5473</v>
      </c>
      <c r="E45" s="36">
        <v>5964</v>
      </c>
      <c r="F45" s="163">
        <v>5392</v>
      </c>
      <c r="G45" s="36">
        <v>4710</v>
      </c>
      <c r="H45" s="148">
        <v>3738</v>
      </c>
      <c r="I45" s="170">
        <v>4201</v>
      </c>
      <c r="J45" s="170">
        <v>3748.65</v>
      </c>
      <c r="K45" s="171">
        <v>3104.11</v>
      </c>
      <c r="L45" s="171">
        <v>3500</v>
      </c>
      <c r="M45" s="171">
        <v>2930.8</v>
      </c>
      <c r="N45" s="171">
        <v>2794</v>
      </c>
      <c r="O45" s="171">
        <v>2900</v>
      </c>
      <c r="P45" s="165">
        <f t="shared" si="15"/>
        <v>79.828571428571422</v>
      </c>
      <c r="Q45" s="165">
        <f t="shared" si="16"/>
        <v>90.009696821311096</v>
      </c>
      <c r="R45" s="165">
        <f t="shared" si="17"/>
        <v>103.79384395132428</v>
      </c>
    </row>
    <row r="46" spans="1:18" ht="15" x14ac:dyDescent="0.2">
      <c r="A46" s="166"/>
      <c r="B46" s="167" t="s">
        <v>71</v>
      </c>
      <c r="C46" s="166" t="s">
        <v>24</v>
      </c>
      <c r="D46" s="149">
        <v>14.2</v>
      </c>
      <c r="E46" s="149">
        <v>14.31924882629108</v>
      </c>
      <c r="F46" s="168">
        <v>14.020771513353116</v>
      </c>
      <c r="G46" s="149">
        <f>G47/G45*10</f>
        <v>14.036093418259023</v>
      </c>
      <c r="H46" s="172">
        <v>14.3</v>
      </c>
      <c r="I46" s="183">
        <v>14.1</v>
      </c>
      <c r="J46" s="183">
        <v>13.913048830912462</v>
      </c>
      <c r="K46" s="181">
        <v>13.671474335638877</v>
      </c>
      <c r="L46" s="181">
        <v>14</v>
      </c>
      <c r="M46" s="181">
        <v>13.9</v>
      </c>
      <c r="N46" s="181">
        <v>14</v>
      </c>
      <c r="O46" s="181">
        <v>14.1</v>
      </c>
      <c r="P46" s="165">
        <f t="shared" si="15"/>
        <v>100</v>
      </c>
      <c r="Q46" s="165">
        <f t="shared" si="16"/>
        <v>102.40300099532587</v>
      </c>
      <c r="R46" s="165">
        <f t="shared" si="17"/>
        <v>100.71428571428571</v>
      </c>
    </row>
    <row r="47" spans="1:18" ht="15" x14ac:dyDescent="0.25">
      <c r="A47" s="34"/>
      <c r="B47" s="35" t="s">
        <v>72</v>
      </c>
      <c r="C47" s="34" t="s">
        <v>25</v>
      </c>
      <c r="D47" s="36">
        <v>7793</v>
      </c>
      <c r="E47" s="36">
        <v>8540</v>
      </c>
      <c r="F47" s="163">
        <v>7560</v>
      </c>
      <c r="G47" s="36">
        <v>6611</v>
      </c>
      <c r="H47" s="163">
        <f>+H46*H45/10</f>
        <v>5345.34</v>
      </c>
      <c r="I47" s="170">
        <v>5905</v>
      </c>
      <c r="J47" s="175">
        <f>(J46*J45)/10</f>
        <v>5215.51505</v>
      </c>
      <c r="K47" s="176">
        <v>4243.7760199999993</v>
      </c>
      <c r="L47" s="155">
        <f>L45*L46/10</f>
        <v>4900</v>
      </c>
      <c r="M47" s="155">
        <f>M45*M46/10</f>
        <v>4073.8120000000004</v>
      </c>
      <c r="N47" s="176">
        <f>N45*N46/10</f>
        <v>3911.6</v>
      </c>
      <c r="O47" s="176">
        <f>+O46*O45/10</f>
        <v>4089</v>
      </c>
      <c r="P47" s="165">
        <f t="shared" si="15"/>
        <v>79.828571428571422</v>
      </c>
      <c r="Q47" s="165">
        <f t="shared" si="16"/>
        <v>92.172630731817009</v>
      </c>
      <c r="R47" s="165">
        <f t="shared" si="17"/>
        <v>104.53522855097658</v>
      </c>
    </row>
    <row r="48" spans="1:18" ht="15" x14ac:dyDescent="0.2">
      <c r="A48" s="31" t="s">
        <v>79</v>
      </c>
      <c r="B48" s="32" t="s">
        <v>80</v>
      </c>
      <c r="C48" s="31" t="s">
        <v>20</v>
      </c>
      <c r="D48" s="33">
        <v>26535</v>
      </c>
      <c r="E48" s="33">
        <v>25149</v>
      </c>
      <c r="F48" s="151">
        <f t="shared" ref="F48:I48" si="23">F49+F52+F55+F58+F61</f>
        <v>27733</v>
      </c>
      <c r="G48" s="33">
        <f t="shared" si="23"/>
        <v>25074</v>
      </c>
      <c r="H48" s="151">
        <f t="shared" si="23"/>
        <v>20003.400000000001</v>
      </c>
      <c r="I48" s="151">
        <f t="shared" si="23"/>
        <v>14321.2</v>
      </c>
      <c r="J48" s="177">
        <f>J49+J52+J55+J58+J61</f>
        <v>12958.3</v>
      </c>
      <c r="K48" s="178">
        <f>K49+K52+K55+K58+K61</f>
        <v>12949.989999999998</v>
      </c>
      <c r="L48" s="178">
        <f t="shared" ref="L48:O48" si="24">L49+L52+L55+L58+L61</f>
        <v>13450</v>
      </c>
      <c r="M48" s="178">
        <f t="shared" si="24"/>
        <v>9315.8000000000011</v>
      </c>
      <c r="N48" s="178">
        <f t="shared" si="24"/>
        <v>13050.88</v>
      </c>
      <c r="O48" s="178">
        <f t="shared" si="24"/>
        <v>12855.533333333333</v>
      </c>
      <c r="P48" s="162">
        <f t="shared" si="15"/>
        <v>97.032565055762078</v>
      </c>
      <c r="Q48" s="162">
        <f t="shared" si="16"/>
        <v>100.77907396067489</v>
      </c>
      <c r="R48" s="162">
        <f t="shared" si="17"/>
        <v>98.503191611089306</v>
      </c>
    </row>
    <row r="49" spans="1:21" ht="15" x14ac:dyDescent="0.2">
      <c r="A49" s="34"/>
      <c r="B49" s="35" t="s">
        <v>339</v>
      </c>
      <c r="C49" s="34" t="s">
        <v>20</v>
      </c>
      <c r="D49" s="36">
        <v>14245</v>
      </c>
      <c r="E49" s="36">
        <v>12932</v>
      </c>
      <c r="F49" s="163">
        <v>15601</v>
      </c>
      <c r="G49" s="36">
        <v>14669</v>
      </c>
      <c r="H49" s="148">
        <v>10725</v>
      </c>
      <c r="I49" s="164">
        <v>6963</v>
      </c>
      <c r="J49" s="187">
        <v>6135.6</v>
      </c>
      <c r="K49" s="188">
        <v>6255.1999999999989</v>
      </c>
      <c r="L49" s="188">
        <v>6400</v>
      </c>
      <c r="M49" s="188">
        <v>5011.6000000000004</v>
      </c>
      <c r="N49" s="188">
        <v>7174.68</v>
      </c>
      <c r="O49" s="188">
        <v>7000</v>
      </c>
      <c r="P49" s="165">
        <f t="shared" si="15"/>
        <v>112.104375</v>
      </c>
      <c r="Q49" s="165">
        <f t="shared" si="16"/>
        <v>114.69945005755213</v>
      </c>
      <c r="R49" s="165">
        <f t="shared" si="17"/>
        <v>97.565326955348525</v>
      </c>
    </row>
    <row r="50" spans="1:21" ht="15" x14ac:dyDescent="0.2">
      <c r="A50" s="166"/>
      <c r="B50" s="167" t="s">
        <v>71</v>
      </c>
      <c r="C50" s="166" t="s">
        <v>24</v>
      </c>
      <c r="D50" s="149">
        <v>734.3</v>
      </c>
      <c r="E50" s="149">
        <v>753.53077636869784</v>
      </c>
      <c r="F50" s="182">
        <v>773.76642522915199</v>
      </c>
      <c r="G50" s="149">
        <f>G51/G49*10</f>
        <v>771.70154748108257</v>
      </c>
      <c r="H50" s="189">
        <f>+H51/H49*10</f>
        <v>758.19207459207462</v>
      </c>
      <c r="I50" s="169">
        <v>755.44151568812458</v>
      </c>
      <c r="J50" s="183">
        <v>737.42359345459272</v>
      </c>
      <c r="K50" s="181">
        <v>746.29121910020433</v>
      </c>
      <c r="L50" s="181">
        <v>780</v>
      </c>
      <c r="M50" s="181">
        <v>754</v>
      </c>
      <c r="N50" s="181">
        <v>759.5</v>
      </c>
      <c r="O50" s="181">
        <v>760</v>
      </c>
      <c r="P50" s="165">
        <f t="shared" si="15"/>
        <v>97.371794871794876</v>
      </c>
      <c r="Q50" s="165">
        <f t="shared" si="16"/>
        <v>101.76992312943483</v>
      </c>
      <c r="R50" s="165">
        <f t="shared" si="17"/>
        <v>100.06583278472681</v>
      </c>
    </row>
    <row r="51" spans="1:21" ht="15" x14ac:dyDescent="0.2">
      <c r="A51" s="34"/>
      <c r="B51" s="35" t="s">
        <v>72</v>
      </c>
      <c r="C51" s="34" t="s">
        <v>25</v>
      </c>
      <c r="D51" s="36">
        <v>1046003</v>
      </c>
      <c r="E51" s="36">
        <v>974466</v>
      </c>
      <c r="F51" s="163">
        <v>1207153</v>
      </c>
      <c r="G51" s="36">
        <v>1132009</v>
      </c>
      <c r="H51" s="163">
        <v>813161</v>
      </c>
      <c r="I51" s="164">
        <v>526007.12839999993</v>
      </c>
      <c r="J51" s="170">
        <f>(J50*J49)/10</f>
        <v>452453.61999999994</v>
      </c>
      <c r="K51" s="171">
        <v>466820.08337155974</v>
      </c>
      <c r="L51" s="171">
        <v>499200</v>
      </c>
      <c r="M51" s="155">
        <f>M49*M50/10</f>
        <v>377874.64</v>
      </c>
      <c r="N51" s="171">
        <f>N49*N50/10</f>
        <v>544916.946</v>
      </c>
      <c r="O51" s="171">
        <f>+O50*O49/10</f>
        <v>532000</v>
      </c>
      <c r="P51" s="165">
        <f t="shared" si="15"/>
        <v>109.15804206730768</v>
      </c>
      <c r="Q51" s="165">
        <f t="shared" si="16"/>
        <v>116.7295421534553</v>
      </c>
      <c r="R51" s="165">
        <f t="shared" si="17"/>
        <v>97.629556927011038</v>
      </c>
    </row>
    <row r="52" spans="1:21" ht="15" x14ac:dyDescent="0.2">
      <c r="A52" s="34"/>
      <c r="B52" s="35" t="s">
        <v>81</v>
      </c>
      <c r="C52" s="34" t="s">
        <v>20</v>
      </c>
      <c r="D52" s="36">
        <v>5903</v>
      </c>
      <c r="E52" s="36">
        <v>6306</v>
      </c>
      <c r="F52" s="163">
        <v>6210</v>
      </c>
      <c r="G52" s="36">
        <v>5529</v>
      </c>
      <c r="H52" s="148">
        <v>4776</v>
      </c>
      <c r="I52" s="164">
        <v>3784</v>
      </c>
      <c r="J52" s="170">
        <v>3636.1</v>
      </c>
      <c r="K52" s="171">
        <v>3185.7899999999995</v>
      </c>
      <c r="L52" s="171">
        <v>3400</v>
      </c>
      <c r="M52" s="171">
        <v>2211.5</v>
      </c>
      <c r="N52" s="171">
        <v>2994</v>
      </c>
      <c r="O52" s="171">
        <v>3000</v>
      </c>
      <c r="P52" s="165">
        <f t="shared" si="15"/>
        <v>88.058823529411768</v>
      </c>
      <c r="Q52" s="165">
        <f t="shared" si="16"/>
        <v>93.979829178947782</v>
      </c>
      <c r="R52" s="165">
        <f t="shared" si="17"/>
        <v>100.20040080160319</v>
      </c>
    </row>
    <row r="53" spans="1:21" ht="15" x14ac:dyDescent="0.25">
      <c r="A53" s="166"/>
      <c r="B53" s="167" t="s">
        <v>71</v>
      </c>
      <c r="C53" s="166" t="s">
        <v>24</v>
      </c>
      <c r="D53" s="149">
        <v>35.5</v>
      </c>
      <c r="E53" s="149">
        <v>36.6</v>
      </c>
      <c r="F53" s="182">
        <v>37.632850241545896</v>
      </c>
      <c r="G53" s="149">
        <f>G54/G52*10</f>
        <v>37.26351962380177</v>
      </c>
      <c r="H53" s="190">
        <v>36.769429057599623</v>
      </c>
      <c r="I53" s="183">
        <v>38.299999999999997</v>
      </c>
      <c r="J53" s="191">
        <v>38.339722229861664</v>
      </c>
      <c r="K53" s="192">
        <v>38.287080567143462</v>
      </c>
      <c r="L53" s="192">
        <v>40</v>
      </c>
      <c r="M53" s="192">
        <v>40</v>
      </c>
      <c r="N53" s="192">
        <v>38.299999999999997</v>
      </c>
      <c r="O53" s="192">
        <v>40</v>
      </c>
      <c r="P53" s="165">
        <f t="shared" si="15"/>
        <v>95.749999999999986</v>
      </c>
      <c r="Q53" s="165">
        <f t="shared" si="16"/>
        <v>100.03374358312298</v>
      </c>
      <c r="R53" s="165">
        <f t="shared" si="17"/>
        <v>104.43864229765015</v>
      </c>
    </row>
    <row r="54" spans="1:21" ht="15" x14ac:dyDescent="0.2">
      <c r="A54" s="34"/>
      <c r="B54" s="35" t="s">
        <v>72</v>
      </c>
      <c r="C54" s="34" t="s">
        <v>25</v>
      </c>
      <c r="D54" s="36">
        <v>20939</v>
      </c>
      <c r="E54" s="36">
        <v>23074</v>
      </c>
      <c r="F54" s="163">
        <v>23370</v>
      </c>
      <c r="G54" s="36">
        <v>20603</v>
      </c>
      <c r="H54" s="163">
        <f>+H53*H52/10</f>
        <v>17561.079317909582</v>
      </c>
      <c r="I54" s="170">
        <v>14498</v>
      </c>
      <c r="J54" s="36">
        <f>J53*J52/10</f>
        <v>13940.706399999999</v>
      </c>
      <c r="K54" s="155">
        <v>12197.459839999996</v>
      </c>
      <c r="L54" s="155">
        <v>13600</v>
      </c>
      <c r="M54" s="155">
        <f>M52*M53/10</f>
        <v>8846</v>
      </c>
      <c r="N54" s="155">
        <f>N52*N53/10</f>
        <v>11467.02</v>
      </c>
      <c r="O54" s="155">
        <f>O52*O53/10</f>
        <v>12000</v>
      </c>
      <c r="P54" s="165">
        <f t="shared" si="15"/>
        <v>84.316323529411761</v>
      </c>
      <c r="Q54" s="165">
        <f t="shared" si="16"/>
        <v>94.011541340725614</v>
      </c>
      <c r="R54" s="165">
        <f t="shared" si="17"/>
        <v>104.64793817399811</v>
      </c>
    </row>
    <row r="55" spans="1:21" ht="15" x14ac:dyDescent="0.2">
      <c r="A55" s="34"/>
      <c r="B55" s="35" t="s">
        <v>82</v>
      </c>
      <c r="C55" s="34" t="s">
        <v>20</v>
      </c>
      <c r="D55" s="36">
        <v>2509</v>
      </c>
      <c r="E55" s="36">
        <v>1737</v>
      </c>
      <c r="F55" s="163">
        <v>1547</v>
      </c>
      <c r="G55" s="36">
        <v>1168</v>
      </c>
      <c r="H55" s="163">
        <v>1021.4</v>
      </c>
      <c r="I55" s="170">
        <v>879.2</v>
      </c>
      <c r="J55" s="187">
        <v>957.8</v>
      </c>
      <c r="K55" s="188">
        <v>1116.5999999999999</v>
      </c>
      <c r="L55" s="188">
        <v>1100</v>
      </c>
      <c r="M55" s="188">
        <v>1006.7</v>
      </c>
      <c r="N55" s="188">
        <v>1053.4000000000001</v>
      </c>
      <c r="O55" s="188">
        <v>1005.5333333333333</v>
      </c>
      <c r="P55" s="165">
        <f t="shared" si="15"/>
        <v>95.76363636363638</v>
      </c>
      <c r="Q55" s="165">
        <f t="shared" si="16"/>
        <v>94.339960594662386</v>
      </c>
      <c r="R55" s="165">
        <f t="shared" si="17"/>
        <v>95.455983798493762</v>
      </c>
    </row>
    <row r="56" spans="1:21" ht="15" x14ac:dyDescent="0.2">
      <c r="A56" s="166"/>
      <c r="B56" s="167" t="s">
        <v>71</v>
      </c>
      <c r="C56" s="166" t="s">
        <v>24</v>
      </c>
      <c r="D56" s="149">
        <v>22.9</v>
      </c>
      <c r="E56" s="149">
        <v>23.839953943580884</v>
      </c>
      <c r="F56" s="182">
        <v>23.135100193923726</v>
      </c>
      <c r="G56" s="149">
        <f>G57/G55*10</f>
        <v>22.662671232876711</v>
      </c>
      <c r="H56" s="190">
        <f>+H57/H55*10</f>
        <v>22.449579009203052</v>
      </c>
      <c r="I56" s="183">
        <v>22.589968152866238</v>
      </c>
      <c r="J56" s="193">
        <v>22.910002088118606</v>
      </c>
      <c r="K56" s="194">
        <v>23.079974923876062</v>
      </c>
      <c r="L56" s="194">
        <v>24.219983282584042</v>
      </c>
      <c r="M56" s="194">
        <v>24.219983282584042</v>
      </c>
      <c r="N56" s="194">
        <v>23.3</v>
      </c>
      <c r="O56" s="194">
        <v>25.359991641292023</v>
      </c>
      <c r="P56" s="165">
        <f t="shared" si="15"/>
        <v>96.20155277627471</v>
      </c>
      <c r="Q56" s="165">
        <f t="shared" si="16"/>
        <v>100.95331592365086</v>
      </c>
      <c r="R56" s="165">
        <f t="shared" si="17"/>
        <v>108.84116584245503</v>
      </c>
    </row>
    <row r="57" spans="1:21" ht="15" x14ac:dyDescent="0.2">
      <c r="A57" s="34"/>
      <c r="B57" s="35" t="s">
        <v>72</v>
      </c>
      <c r="C57" s="34" t="s">
        <v>25</v>
      </c>
      <c r="D57" s="36">
        <v>5755</v>
      </c>
      <c r="E57" s="36">
        <v>4141</v>
      </c>
      <c r="F57" s="163">
        <v>3579</v>
      </c>
      <c r="G57" s="36">
        <v>2647</v>
      </c>
      <c r="H57" s="163">
        <v>2293</v>
      </c>
      <c r="I57" s="170">
        <v>1986.11</v>
      </c>
      <c r="J57" s="36">
        <f>J56*J55/10</f>
        <v>2194.3200000000002</v>
      </c>
      <c r="K57" s="155">
        <v>2577.1100000000006</v>
      </c>
      <c r="L57" s="155">
        <f>L55*L56/10</f>
        <v>2664.1981610842445</v>
      </c>
      <c r="M57" s="155">
        <f>M55*M56/10</f>
        <v>2438.2257170577354</v>
      </c>
      <c r="N57" s="155">
        <f>N55*N56/10</f>
        <v>2454.422</v>
      </c>
      <c r="O57" s="155">
        <f t="shared" ref="O57" si="25">O55*O56/10</f>
        <v>2550.0316928373841</v>
      </c>
      <c r="P57" s="165">
        <f t="shared" si="15"/>
        <v>92.126105176843438</v>
      </c>
      <c r="Q57" s="165">
        <f t="shared" si="16"/>
        <v>95.239318461377252</v>
      </c>
      <c r="R57" s="165">
        <f t="shared" si="17"/>
        <v>103.89540563266561</v>
      </c>
    </row>
    <row r="58" spans="1:21" ht="15" x14ac:dyDescent="0.2">
      <c r="A58" s="34"/>
      <c r="B58" s="35" t="s">
        <v>83</v>
      </c>
      <c r="C58" s="34" t="s">
        <v>20</v>
      </c>
      <c r="D58" s="36">
        <v>496</v>
      </c>
      <c r="E58" s="36">
        <v>523</v>
      </c>
      <c r="F58" s="163">
        <v>464</v>
      </c>
      <c r="G58" s="36">
        <v>366</v>
      </c>
      <c r="H58" s="163">
        <v>285</v>
      </c>
      <c r="I58" s="170">
        <v>597</v>
      </c>
      <c r="J58" s="187">
        <v>420.8</v>
      </c>
      <c r="K58" s="188">
        <v>292.39999999999998</v>
      </c>
      <c r="L58" s="188">
        <v>350</v>
      </c>
      <c r="M58" s="188">
        <v>86</v>
      </c>
      <c r="N58" s="188">
        <v>236.8</v>
      </c>
      <c r="O58" s="188">
        <v>250</v>
      </c>
      <c r="P58" s="165">
        <f t="shared" si="15"/>
        <v>67.657142857142858</v>
      </c>
      <c r="Q58" s="165">
        <f t="shared" si="16"/>
        <v>80.984952120383042</v>
      </c>
      <c r="R58" s="165">
        <f t="shared" si="17"/>
        <v>105.57432432432432</v>
      </c>
    </row>
    <row r="59" spans="1:21" ht="15" x14ac:dyDescent="0.2">
      <c r="A59" s="166"/>
      <c r="B59" s="167" t="s">
        <v>71</v>
      </c>
      <c r="C59" s="166" t="s">
        <v>24</v>
      </c>
      <c r="D59" s="149">
        <v>9.375</v>
      </c>
      <c r="E59" s="149">
        <v>9.3000000000000007</v>
      </c>
      <c r="F59" s="182">
        <f>F60/F58*10</f>
        <v>9.1594827586206904</v>
      </c>
      <c r="G59" s="149">
        <f>G60/G58*10</f>
        <v>9.2896174863387984</v>
      </c>
      <c r="H59" s="190">
        <f>+H60/H58*10</f>
        <v>10.456140350877192</v>
      </c>
      <c r="I59" s="183">
        <v>9.1999999999999993</v>
      </c>
      <c r="J59" s="193">
        <v>8.9721863117870715</v>
      </c>
      <c r="K59" s="194">
        <v>9.1483994528043784</v>
      </c>
      <c r="L59" s="194">
        <v>11</v>
      </c>
      <c r="M59" s="194">
        <v>11</v>
      </c>
      <c r="N59" s="194">
        <v>9.09</v>
      </c>
      <c r="O59" s="194">
        <v>10</v>
      </c>
      <c r="P59" s="165">
        <f t="shared" si="15"/>
        <v>82.636363636363626</v>
      </c>
      <c r="Q59" s="165">
        <f t="shared" si="16"/>
        <v>99.361642950707889</v>
      </c>
      <c r="R59" s="165">
        <f t="shared" si="17"/>
        <v>110.01100110011002</v>
      </c>
    </row>
    <row r="60" spans="1:21" ht="15" x14ac:dyDescent="0.2">
      <c r="A60" s="34"/>
      <c r="B60" s="35" t="s">
        <v>72</v>
      </c>
      <c r="C60" s="34" t="s">
        <v>25</v>
      </c>
      <c r="D60" s="36">
        <v>465</v>
      </c>
      <c r="E60" s="36">
        <v>484</v>
      </c>
      <c r="F60" s="163">
        <v>425</v>
      </c>
      <c r="G60" s="36">
        <v>340</v>
      </c>
      <c r="H60" s="163">
        <v>298</v>
      </c>
      <c r="I60" s="170">
        <v>552</v>
      </c>
      <c r="J60" s="36">
        <f>J59*J58/10</f>
        <v>377.54959999999994</v>
      </c>
      <c r="K60" s="155">
        <v>267.49919999999997</v>
      </c>
      <c r="L60" s="155">
        <f>L58*L59/10</f>
        <v>385</v>
      </c>
      <c r="M60" s="155">
        <f t="shared" ref="M60:N60" si="26">M58*M59/10</f>
        <v>94.6</v>
      </c>
      <c r="N60" s="155">
        <f t="shared" si="26"/>
        <v>215.25120000000001</v>
      </c>
      <c r="O60" s="155">
        <f>O58*O59/10</f>
        <v>250</v>
      </c>
      <c r="P60" s="165">
        <f t="shared" si="15"/>
        <v>55.909402597402604</v>
      </c>
      <c r="Q60" s="165">
        <f t="shared" si="16"/>
        <v>80.467978969656741</v>
      </c>
      <c r="R60" s="165">
        <f t="shared" si="17"/>
        <v>116.14337109386614</v>
      </c>
    </row>
    <row r="61" spans="1:21" ht="30" x14ac:dyDescent="0.2">
      <c r="A61" s="34"/>
      <c r="B61" s="35" t="s">
        <v>84</v>
      </c>
      <c r="C61" s="34" t="s">
        <v>20</v>
      </c>
      <c r="D61" s="36">
        <v>3382</v>
      </c>
      <c r="E61" s="36">
        <v>3651</v>
      </c>
      <c r="F61" s="163">
        <v>3911</v>
      </c>
      <c r="G61" s="36">
        <v>3342</v>
      </c>
      <c r="H61" s="163">
        <v>3196</v>
      </c>
      <c r="I61" s="185">
        <v>2098</v>
      </c>
      <c r="J61" s="195">
        <v>1808</v>
      </c>
      <c r="K61" s="196">
        <v>2100</v>
      </c>
      <c r="L61" s="196">
        <v>2200</v>
      </c>
      <c r="M61" s="196">
        <v>1000</v>
      </c>
      <c r="N61" s="196">
        <v>1592</v>
      </c>
      <c r="O61" s="196">
        <v>1600</v>
      </c>
      <c r="P61" s="165">
        <f t="shared" si="15"/>
        <v>72.36363636363636</v>
      </c>
      <c r="Q61" s="165">
        <f t="shared" si="16"/>
        <v>75.80952380952381</v>
      </c>
      <c r="R61" s="165">
        <f t="shared" si="17"/>
        <v>100.50251256281406</v>
      </c>
      <c r="U61" s="134"/>
    </row>
    <row r="62" spans="1:21" ht="15" x14ac:dyDescent="0.2">
      <c r="A62" s="34"/>
      <c r="B62" s="35" t="s">
        <v>72</v>
      </c>
      <c r="C62" s="34" t="s">
        <v>25</v>
      </c>
      <c r="D62" s="36">
        <v>69150</v>
      </c>
      <c r="E62" s="36">
        <v>72450</v>
      </c>
      <c r="F62" s="163">
        <v>74500</v>
      </c>
      <c r="G62" s="36">
        <v>65000</v>
      </c>
      <c r="H62" s="163">
        <v>76800</v>
      </c>
      <c r="I62" s="170">
        <v>68705</v>
      </c>
      <c r="J62" s="187">
        <f>J61*35</f>
        <v>63280</v>
      </c>
      <c r="K62" s="188">
        <v>73500</v>
      </c>
      <c r="L62" s="188">
        <f>K62*L61/K61</f>
        <v>77000</v>
      </c>
      <c r="M62" s="188">
        <f t="shared" ref="M62" si="27">L62*M61/L61</f>
        <v>35000</v>
      </c>
      <c r="N62" s="188">
        <f>M62*N61/M61</f>
        <v>55720</v>
      </c>
      <c r="O62" s="188">
        <f>L62*O61/L61</f>
        <v>56000</v>
      </c>
      <c r="P62" s="165">
        <f t="shared" si="15"/>
        <v>72.36363636363636</v>
      </c>
      <c r="Q62" s="165">
        <f t="shared" si="16"/>
        <v>75.80952380952381</v>
      </c>
      <c r="R62" s="165">
        <f t="shared" si="17"/>
        <v>100.50251256281406</v>
      </c>
    </row>
    <row r="63" spans="1:21" ht="30" x14ac:dyDescent="0.2">
      <c r="A63" s="31" t="s">
        <v>86</v>
      </c>
      <c r="B63" s="32" t="s">
        <v>87</v>
      </c>
      <c r="C63" s="31" t="s">
        <v>20</v>
      </c>
      <c r="D63" s="33">
        <v>2232</v>
      </c>
      <c r="E63" s="33">
        <v>2755</v>
      </c>
      <c r="F63" s="151">
        <v>3341</v>
      </c>
      <c r="G63" s="33">
        <v>3720</v>
      </c>
      <c r="H63" s="151">
        <v>4823.7</v>
      </c>
      <c r="I63" s="197">
        <v>6227</v>
      </c>
      <c r="J63" s="198">
        <v>6021.5700000000006</v>
      </c>
      <c r="K63" s="199">
        <v>8516.7100000000009</v>
      </c>
      <c r="L63" s="199">
        <v>6300</v>
      </c>
      <c r="M63" s="199">
        <v>5000</v>
      </c>
      <c r="N63" s="199">
        <v>7249</v>
      </c>
      <c r="O63" s="199">
        <v>7500</v>
      </c>
      <c r="P63" s="162">
        <f t="shared" si="15"/>
        <v>115.06349206349206</v>
      </c>
      <c r="Q63" s="162">
        <f t="shared" si="16"/>
        <v>85.115026811996643</v>
      </c>
      <c r="R63" s="162">
        <f t="shared" si="17"/>
        <v>103.46254655814595</v>
      </c>
    </row>
    <row r="64" spans="1:21" ht="15" x14ac:dyDescent="0.2">
      <c r="A64" s="31"/>
      <c r="B64" s="35" t="s">
        <v>72</v>
      </c>
      <c r="C64" s="31"/>
      <c r="D64" s="36">
        <v>104000</v>
      </c>
      <c r="E64" s="33"/>
      <c r="F64" s="163">
        <v>128000</v>
      </c>
      <c r="G64" s="36">
        <v>135200</v>
      </c>
      <c r="H64" s="163">
        <v>165500</v>
      </c>
      <c r="I64" s="170">
        <v>260512</v>
      </c>
      <c r="J64" s="187">
        <v>255000</v>
      </c>
      <c r="K64" s="188">
        <v>780764.8714699999</v>
      </c>
      <c r="L64" s="188">
        <f>K64*L63/K63</f>
        <v>577549.15809755167</v>
      </c>
      <c r="M64" s="188">
        <f t="shared" ref="M64" si="28">L64*M63/L63</f>
        <v>458372.34769646957</v>
      </c>
      <c r="N64" s="188">
        <v>643023</v>
      </c>
      <c r="O64" s="188">
        <f>L64*O63/L63</f>
        <v>687558.52154470445</v>
      </c>
      <c r="P64" s="165">
        <f t="shared" si="15"/>
        <v>111.33649681320969</v>
      </c>
      <c r="Q64" s="165">
        <f t="shared" si="16"/>
        <v>82.358085448867115</v>
      </c>
      <c r="R64" s="165">
        <f t="shared" si="17"/>
        <v>106.92596089793125</v>
      </c>
    </row>
    <row r="65" spans="1:18" ht="15" x14ac:dyDescent="0.2">
      <c r="A65" s="31" t="s">
        <v>88</v>
      </c>
      <c r="B65" s="32" t="s">
        <v>89</v>
      </c>
      <c r="C65" s="31" t="s">
        <v>25</v>
      </c>
      <c r="D65" s="151">
        <v>190130</v>
      </c>
      <c r="E65" s="151">
        <v>198000</v>
      </c>
      <c r="F65" s="145">
        <v>193227</v>
      </c>
      <c r="G65" s="33">
        <v>195540</v>
      </c>
      <c r="H65" s="151">
        <v>199000</v>
      </c>
      <c r="I65" s="200">
        <v>205200</v>
      </c>
      <c r="J65" s="198">
        <v>208700</v>
      </c>
      <c r="K65" s="199">
        <v>210000</v>
      </c>
      <c r="L65" s="199">
        <v>214000</v>
      </c>
      <c r="M65" s="199">
        <v>100000</v>
      </c>
      <c r="N65" s="199">
        <v>214000</v>
      </c>
      <c r="O65" s="199">
        <v>218000</v>
      </c>
      <c r="P65" s="162">
        <f t="shared" si="15"/>
        <v>100</v>
      </c>
      <c r="Q65" s="162">
        <f t="shared" si="16"/>
        <v>101.9047619047619</v>
      </c>
      <c r="R65" s="162">
        <f t="shared" si="17"/>
        <v>101.86915887850468</v>
      </c>
    </row>
    <row r="66" spans="1:18" ht="15" x14ac:dyDescent="0.2">
      <c r="A66" s="37" t="s">
        <v>90</v>
      </c>
      <c r="B66" s="38" t="s">
        <v>91</v>
      </c>
      <c r="C66" s="37" t="s">
        <v>20</v>
      </c>
      <c r="D66" s="151">
        <f t="shared" ref="D66:I66" si="29">D67+D84+D127</f>
        <v>120417</v>
      </c>
      <c r="E66" s="151">
        <f t="shared" si="29"/>
        <v>120072</v>
      </c>
      <c r="F66" s="151">
        <f t="shared" si="29"/>
        <v>121806</v>
      </c>
      <c r="G66" s="151">
        <f t="shared" si="29"/>
        <v>124642</v>
      </c>
      <c r="H66" s="151">
        <f t="shared" si="29"/>
        <v>121686</v>
      </c>
      <c r="I66" s="201">
        <f t="shared" si="29"/>
        <v>128488</v>
      </c>
      <c r="J66" s="202">
        <f>J67+J84+J127</f>
        <v>129874.12</v>
      </c>
      <c r="K66" s="203">
        <f>K67+K84+K127</f>
        <v>129625.17599999999</v>
      </c>
      <c r="L66" s="203">
        <f t="shared" ref="L66:O66" si="30">L67+L84+L127</f>
        <v>130812.31833333334</v>
      </c>
      <c r="M66" s="203">
        <f t="shared" si="30"/>
        <v>129379.25</v>
      </c>
      <c r="N66" s="203">
        <f t="shared" si="30"/>
        <v>128196.53333333334</v>
      </c>
      <c r="O66" s="203">
        <f t="shared" si="30"/>
        <v>128138.76666666666</v>
      </c>
      <c r="P66" s="160">
        <f t="shared" si="15"/>
        <v>98.000352693593797</v>
      </c>
      <c r="Q66" s="160">
        <f t="shared" si="16"/>
        <v>98.897866363038418</v>
      </c>
      <c r="R66" s="160">
        <f t="shared" si="17"/>
        <v>99.954938979109158</v>
      </c>
    </row>
    <row r="67" spans="1:18" ht="15" x14ac:dyDescent="0.2">
      <c r="A67" s="31" t="s">
        <v>92</v>
      </c>
      <c r="B67" s="32" t="s">
        <v>93</v>
      </c>
      <c r="C67" s="31" t="s">
        <v>20</v>
      </c>
      <c r="D67" s="33">
        <v>104150</v>
      </c>
      <c r="E67" s="33">
        <v>102636</v>
      </c>
      <c r="F67" s="151">
        <f t="shared" ref="F67:J67" si="31">F68+F72+F76+F80</f>
        <v>103736</v>
      </c>
      <c r="G67" s="151">
        <f t="shared" si="31"/>
        <v>104067</v>
      </c>
      <c r="H67" s="151">
        <f t="shared" si="31"/>
        <v>99521</v>
      </c>
      <c r="I67" s="200">
        <f t="shared" si="31"/>
        <v>105170</v>
      </c>
      <c r="J67" s="177">
        <f t="shared" si="31"/>
        <v>106432.87999999999</v>
      </c>
      <c r="K67" s="178">
        <f>K68+K72+K76+K80</f>
        <v>105926.416</v>
      </c>
      <c r="L67" s="178">
        <f t="shared" ref="L67:O67" si="32">L68+L72+L76+L80</f>
        <v>105529.14</v>
      </c>
      <c r="M67" s="178">
        <f t="shared" si="32"/>
        <v>105603.72</v>
      </c>
      <c r="N67" s="178">
        <f t="shared" si="32"/>
        <v>104205</v>
      </c>
      <c r="O67" s="178">
        <f t="shared" si="32"/>
        <v>103430</v>
      </c>
      <c r="P67" s="162">
        <f t="shared" si="15"/>
        <v>98.745237571347587</v>
      </c>
      <c r="Q67" s="162">
        <f t="shared" si="16"/>
        <v>98.374894511676857</v>
      </c>
      <c r="R67" s="162">
        <f t="shared" si="17"/>
        <v>99.256273691281606</v>
      </c>
    </row>
    <row r="68" spans="1:18" ht="15" x14ac:dyDescent="0.2">
      <c r="A68" s="34"/>
      <c r="B68" s="35" t="s">
        <v>340</v>
      </c>
      <c r="C68" s="34" t="s">
        <v>20</v>
      </c>
      <c r="D68" s="36">
        <v>100818</v>
      </c>
      <c r="E68" s="36">
        <v>99356</v>
      </c>
      <c r="F68" s="163">
        <v>100437</v>
      </c>
      <c r="G68" s="36">
        <v>100638</v>
      </c>
      <c r="H68" s="148">
        <v>94977</v>
      </c>
      <c r="I68" s="170">
        <v>100519</v>
      </c>
      <c r="J68" s="187">
        <v>101714.56</v>
      </c>
      <c r="K68" s="188">
        <v>101227.70600000001</v>
      </c>
      <c r="L68" s="188">
        <v>100800</v>
      </c>
      <c r="M68" s="188">
        <v>100900</v>
      </c>
      <c r="N68" s="188">
        <v>99479</v>
      </c>
      <c r="O68" s="188">
        <v>98700</v>
      </c>
      <c r="P68" s="165">
        <f t="shared" si="15"/>
        <v>98.689484126984127</v>
      </c>
      <c r="Q68" s="165">
        <f t="shared" si="16"/>
        <v>98.272502589360272</v>
      </c>
      <c r="R68" s="165">
        <f t="shared" si="17"/>
        <v>99.216920154002352</v>
      </c>
    </row>
    <row r="69" spans="1:18" ht="15" x14ac:dyDescent="0.2">
      <c r="A69" s="34"/>
      <c r="B69" s="35" t="s">
        <v>335</v>
      </c>
      <c r="C69" s="34" t="s">
        <v>20</v>
      </c>
      <c r="D69" s="36">
        <v>87398</v>
      </c>
      <c r="E69" s="36">
        <v>87865</v>
      </c>
      <c r="F69" s="163">
        <v>90732</v>
      </c>
      <c r="G69" s="36">
        <v>90724</v>
      </c>
      <c r="H69" s="148">
        <v>82677</v>
      </c>
      <c r="I69" s="170">
        <v>85215.8</v>
      </c>
      <c r="J69" s="187">
        <v>86642.4</v>
      </c>
      <c r="K69" s="188">
        <v>86943.654199999903</v>
      </c>
      <c r="L69" s="188">
        <v>87750</v>
      </c>
      <c r="M69" s="188">
        <v>87000</v>
      </c>
      <c r="N69" s="188">
        <v>86137</v>
      </c>
      <c r="O69" s="188">
        <v>87150</v>
      </c>
      <c r="P69" s="165">
        <f t="shared" si="15"/>
        <v>98.161823361823366</v>
      </c>
      <c r="Q69" s="165">
        <f t="shared" si="16"/>
        <v>99.072210378753667</v>
      </c>
      <c r="R69" s="165">
        <f t="shared" si="17"/>
        <v>101.1760335279845</v>
      </c>
    </row>
    <row r="70" spans="1:18" ht="15" x14ac:dyDescent="0.2">
      <c r="A70" s="166"/>
      <c r="B70" s="167" t="s">
        <v>71</v>
      </c>
      <c r="C70" s="166" t="s">
        <v>24</v>
      </c>
      <c r="D70" s="149">
        <v>20.924620700702533</v>
      </c>
      <c r="E70" s="149">
        <v>21.299493541228021</v>
      </c>
      <c r="F70" s="182">
        <f>F71/F69*10</f>
        <v>21.260084644888245</v>
      </c>
      <c r="G70" s="149">
        <f>G71/G69*10</f>
        <v>21.1499713416516</v>
      </c>
      <c r="H70" s="172">
        <f>+H71/H69*10</f>
        <v>21.10502316242728</v>
      </c>
      <c r="I70" s="183">
        <v>21</v>
      </c>
      <c r="J70" s="187">
        <v>21.2346</v>
      </c>
      <c r="K70" s="188">
        <v>21.840001850439819</v>
      </c>
      <c r="L70" s="188">
        <v>21</v>
      </c>
      <c r="M70" s="188">
        <v>7.5798145701128323</v>
      </c>
      <c r="N70" s="188">
        <v>21.97</v>
      </c>
      <c r="O70" s="188">
        <v>21.45</v>
      </c>
      <c r="P70" s="165">
        <f t="shared" si="15"/>
        <v>104.61904761904761</v>
      </c>
      <c r="Q70" s="165">
        <f t="shared" si="16"/>
        <v>100.59522957209622</v>
      </c>
      <c r="R70" s="165">
        <f t="shared" si="17"/>
        <v>97.633136094674555</v>
      </c>
    </row>
    <row r="71" spans="1:18" ht="15" x14ac:dyDescent="0.2">
      <c r="A71" s="34"/>
      <c r="B71" s="35" t="s">
        <v>72</v>
      </c>
      <c r="C71" s="34" t="s">
        <v>25</v>
      </c>
      <c r="D71" s="36">
        <v>182877</v>
      </c>
      <c r="E71" s="36">
        <v>187148</v>
      </c>
      <c r="F71" s="163">
        <v>192897</v>
      </c>
      <c r="G71" s="36">
        <v>191881</v>
      </c>
      <c r="H71" s="163">
        <v>174490</v>
      </c>
      <c r="I71" s="170">
        <v>179550</v>
      </c>
      <c r="J71" s="187">
        <f>J69*J70/10</f>
        <v>183981.67070399999</v>
      </c>
      <c r="K71" s="188">
        <v>189884.93686119982</v>
      </c>
      <c r="L71" s="188">
        <f>L70*L69/10</f>
        <v>184275</v>
      </c>
      <c r="M71" s="188">
        <f t="shared" ref="M71:O71" si="33">M70*M69/10</f>
        <v>65944.386759981644</v>
      </c>
      <c r="N71" s="188">
        <f t="shared" si="33"/>
        <v>189242.989</v>
      </c>
      <c r="O71" s="188">
        <f t="shared" si="33"/>
        <v>186936.75</v>
      </c>
      <c r="P71" s="165">
        <f t="shared" si="15"/>
        <v>102.69596472663139</v>
      </c>
      <c r="Q71" s="165">
        <f t="shared" si="16"/>
        <v>99.661927969742507</v>
      </c>
      <c r="R71" s="165">
        <f t="shared" si="17"/>
        <v>98.781334509570655</v>
      </c>
    </row>
    <row r="72" spans="1:18" ht="15" x14ac:dyDescent="0.2">
      <c r="A72" s="34"/>
      <c r="B72" s="35" t="s">
        <v>341</v>
      </c>
      <c r="C72" s="34" t="s">
        <v>20</v>
      </c>
      <c r="D72" s="36">
        <v>353</v>
      </c>
      <c r="E72" s="36">
        <v>375</v>
      </c>
      <c r="F72" s="163">
        <v>334</v>
      </c>
      <c r="G72" s="36">
        <v>326</v>
      </c>
      <c r="H72" s="148">
        <v>293</v>
      </c>
      <c r="I72" s="170">
        <v>265</v>
      </c>
      <c r="J72" s="187">
        <v>262.86</v>
      </c>
      <c r="K72" s="188">
        <v>226.98999999999998</v>
      </c>
      <c r="L72" s="188">
        <v>241.32666666666665</v>
      </c>
      <c r="M72" s="188">
        <v>232</v>
      </c>
      <c r="N72" s="188">
        <v>228</v>
      </c>
      <c r="O72" s="188">
        <v>230</v>
      </c>
      <c r="P72" s="165">
        <f t="shared" si="15"/>
        <v>94.477748004088511</v>
      </c>
      <c r="Q72" s="165">
        <f t="shared" si="16"/>
        <v>100.44495352218161</v>
      </c>
      <c r="R72" s="165">
        <f t="shared" si="17"/>
        <v>100.87719298245614</v>
      </c>
    </row>
    <row r="73" spans="1:18" ht="15" x14ac:dyDescent="0.2">
      <c r="A73" s="34"/>
      <c r="B73" s="35" t="s">
        <v>335</v>
      </c>
      <c r="C73" s="34" t="s">
        <v>20</v>
      </c>
      <c r="D73" s="36">
        <v>320</v>
      </c>
      <c r="E73" s="36">
        <v>314</v>
      </c>
      <c r="F73" s="163">
        <v>302</v>
      </c>
      <c r="G73" s="36">
        <v>293</v>
      </c>
      <c r="H73" s="148">
        <v>276</v>
      </c>
      <c r="I73" s="170">
        <v>259.3</v>
      </c>
      <c r="J73" s="187">
        <v>259.85000000000002</v>
      </c>
      <c r="K73" s="188">
        <v>224.48999999999998</v>
      </c>
      <c r="L73" s="188">
        <v>236.32666666666665</v>
      </c>
      <c r="M73" s="188">
        <v>229</v>
      </c>
      <c r="N73" s="188">
        <v>226</v>
      </c>
      <c r="O73" s="188">
        <v>226</v>
      </c>
      <c r="P73" s="165">
        <f t="shared" si="15"/>
        <v>95.630342181725865</v>
      </c>
      <c r="Q73" s="165">
        <f t="shared" si="16"/>
        <v>100.67263575214933</v>
      </c>
      <c r="R73" s="165">
        <f t="shared" si="17"/>
        <v>100</v>
      </c>
    </row>
    <row r="74" spans="1:18" ht="15" x14ac:dyDescent="0.2">
      <c r="A74" s="166"/>
      <c r="B74" s="167" t="s">
        <v>71</v>
      </c>
      <c r="C74" s="166" t="s">
        <v>24</v>
      </c>
      <c r="D74" s="149">
        <v>25.8</v>
      </c>
      <c r="E74" s="149">
        <v>26.019108280254777</v>
      </c>
      <c r="F74" s="182">
        <f>F75/F73*10</f>
        <v>25.894039735099341</v>
      </c>
      <c r="G74" s="149">
        <v>26.14</v>
      </c>
      <c r="H74" s="172">
        <v>26</v>
      </c>
      <c r="I74" s="183">
        <v>25.6</v>
      </c>
      <c r="J74" s="183">
        <v>25.16</v>
      </c>
      <c r="K74" s="181">
        <v>26.981157289857013</v>
      </c>
      <c r="L74" s="181">
        <v>27.154104859904674</v>
      </c>
      <c r="M74" s="181">
        <v>27.154104859904674</v>
      </c>
      <c r="N74" s="181">
        <v>26.56</v>
      </c>
      <c r="O74" s="181">
        <v>27</v>
      </c>
      <c r="P74" s="165">
        <f t="shared" si="15"/>
        <v>97.812099264660631</v>
      </c>
      <c r="Q74" s="165">
        <f t="shared" si="16"/>
        <v>98.439068845963334</v>
      </c>
      <c r="R74" s="165">
        <f t="shared" si="17"/>
        <v>101.6566265060241</v>
      </c>
    </row>
    <row r="75" spans="1:18" ht="15" x14ac:dyDescent="0.2">
      <c r="A75" s="34"/>
      <c r="B75" s="35" t="s">
        <v>72</v>
      </c>
      <c r="C75" s="34" t="s">
        <v>25</v>
      </c>
      <c r="D75" s="36">
        <v>827</v>
      </c>
      <c r="E75" s="36">
        <v>817</v>
      </c>
      <c r="F75" s="163">
        <v>782</v>
      </c>
      <c r="G75" s="36">
        <f>G74*G73/10</f>
        <v>765.90200000000004</v>
      </c>
      <c r="H75" s="163">
        <f>H74*H73/10</f>
        <v>717.6</v>
      </c>
      <c r="I75" s="183">
        <v>662</v>
      </c>
      <c r="J75" s="187">
        <f>J73*J74/10</f>
        <v>653.78260000000012</v>
      </c>
      <c r="K75" s="188">
        <v>605.69999999999993</v>
      </c>
      <c r="L75" s="188">
        <f>+L74*L73/10</f>
        <v>641.72390878584042</v>
      </c>
      <c r="M75" s="188">
        <f t="shared" ref="M75:O75" si="34">+M74*M73/10</f>
        <v>621.82900129181712</v>
      </c>
      <c r="N75" s="188">
        <f t="shared" si="34"/>
        <v>600.25599999999997</v>
      </c>
      <c r="O75" s="188">
        <f t="shared" si="34"/>
        <v>610.20000000000005</v>
      </c>
      <c r="P75" s="165">
        <f t="shared" si="15"/>
        <v>93.538045221924349</v>
      </c>
      <c r="Q75" s="165">
        <f t="shared" si="16"/>
        <v>99.10120521710418</v>
      </c>
      <c r="R75" s="165">
        <f t="shared" si="17"/>
        <v>101.65662650602411</v>
      </c>
    </row>
    <row r="76" spans="1:18" ht="15" x14ac:dyDescent="0.2">
      <c r="A76" s="34"/>
      <c r="B76" s="35" t="s">
        <v>342</v>
      </c>
      <c r="C76" s="34" t="s">
        <v>20</v>
      </c>
      <c r="D76" s="36">
        <v>1934</v>
      </c>
      <c r="E76" s="36">
        <v>1898</v>
      </c>
      <c r="F76" s="163">
        <v>1945</v>
      </c>
      <c r="G76" s="36">
        <v>2024</v>
      </c>
      <c r="H76" s="148">
        <v>2895</v>
      </c>
      <c r="I76" s="170">
        <v>2810</v>
      </c>
      <c r="J76" s="187">
        <v>2850.84</v>
      </c>
      <c r="K76" s="188">
        <v>2895.0699999999997</v>
      </c>
      <c r="L76" s="188">
        <v>2913.3799999999997</v>
      </c>
      <c r="M76" s="188">
        <v>2895.0699999999997</v>
      </c>
      <c r="N76" s="188">
        <v>2926</v>
      </c>
      <c r="O76" s="188">
        <v>2930</v>
      </c>
      <c r="P76" s="165">
        <f t="shared" si="15"/>
        <v>100.43317383932066</v>
      </c>
      <c r="Q76" s="165">
        <f t="shared" si="16"/>
        <v>101.06836794965236</v>
      </c>
      <c r="R76" s="165">
        <f t="shared" si="17"/>
        <v>100.1367053998633</v>
      </c>
    </row>
    <row r="77" spans="1:18" ht="15" x14ac:dyDescent="0.2">
      <c r="A77" s="34"/>
      <c r="B77" s="35" t="s">
        <v>338</v>
      </c>
      <c r="C77" s="34" t="s">
        <v>20</v>
      </c>
      <c r="D77" s="36">
        <v>1787</v>
      </c>
      <c r="E77" s="36">
        <v>1733</v>
      </c>
      <c r="F77" s="163">
        <v>1775</v>
      </c>
      <c r="G77" s="36">
        <v>1785</v>
      </c>
      <c r="H77" s="148">
        <v>2617</v>
      </c>
      <c r="I77" s="170">
        <v>2515.3000000000002</v>
      </c>
      <c r="J77" s="187">
        <v>2548.4499999999998</v>
      </c>
      <c r="K77" s="188">
        <v>2587.98</v>
      </c>
      <c r="L77" s="188">
        <v>2591.9866666666667</v>
      </c>
      <c r="M77" s="188">
        <v>2587.98</v>
      </c>
      <c r="N77" s="188">
        <v>2662</v>
      </c>
      <c r="O77" s="188">
        <v>2610</v>
      </c>
      <c r="P77" s="165">
        <f t="shared" si="15"/>
        <v>102.70114558202459</v>
      </c>
      <c r="Q77" s="165">
        <f t="shared" si="16"/>
        <v>102.86014575073996</v>
      </c>
      <c r="R77" s="165">
        <f t="shared" si="17"/>
        <v>98.046581517655895</v>
      </c>
    </row>
    <row r="78" spans="1:18" ht="15" x14ac:dyDescent="0.2">
      <c r="A78" s="166"/>
      <c r="B78" s="167" t="s">
        <v>336</v>
      </c>
      <c r="C78" s="166" t="s">
        <v>24</v>
      </c>
      <c r="D78" s="149">
        <v>270.3</v>
      </c>
      <c r="E78" s="149">
        <v>268.3</v>
      </c>
      <c r="F78" s="182">
        <f>+F79/F77*10</f>
        <v>268.16901408450701</v>
      </c>
      <c r="G78" s="149">
        <v>261.52</v>
      </c>
      <c r="H78" s="172">
        <f>+H79/H77*10</f>
        <v>252.30798624379059</v>
      </c>
      <c r="I78" s="183">
        <v>271</v>
      </c>
      <c r="J78" s="187">
        <v>275.45</v>
      </c>
      <c r="K78" s="188">
        <v>285.57284059382221</v>
      </c>
      <c r="L78" s="188">
        <v>287</v>
      </c>
      <c r="M78" s="188">
        <v>119.4022304330388</v>
      </c>
      <c r="N78" s="188">
        <v>297.85000000000002</v>
      </c>
      <c r="O78" s="188">
        <v>288</v>
      </c>
      <c r="P78" s="165">
        <f t="shared" si="15"/>
        <v>103.78048780487805</v>
      </c>
      <c r="Q78" s="165">
        <f t="shared" si="16"/>
        <v>104.29913411256078</v>
      </c>
      <c r="R78" s="165">
        <f t="shared" si="17"/>
        <v>96.692966258183645</v>
      </c>
    </row>
    <row r="79" spans="1:18" ht="15" x14ac:dyDescent="0.2">
      <c r="A79" s="34"/>
      <c r="B79" s="35" t="s">
        <v>337</v>
      </c>
      <c r="C79" s="34" t="s">
        <v>25</v>
      </c>
      <c r="D79" s="36">
        <v>48295</v>
      </c>
      <c r="E79" s="36">
        <v>46498</v>
      </c>
      <c r="F79" s="163">
        <v>47600</v>
      </c>
      <c r="G79" s="36">
        <f>G78*G77/10</f>
        <v>46681.319999999992</v>
      </c>
      <c r="H79" s="163">
        <v>66029</v>
      </c>
      <c r="I79" s="170">
        <v>68050</v>
      </c>
      <c r="J79" s="187">
        <f>J77*J78/10</f>
        <v>70197.05524999999</v>
      </c>
      <c r="K79" s="188">
        <v>73905.680000000008</v>
      </c>
      <c r="L79" s="188">
        <f>L78*L77/10</f>
        <v>74390.017333333337</v>
      </c>
      <c r="M79" s="188">
        <f t="shared" ref="M79:O79" si="35">M78*M77/10</f>
        <v>30901.058431609574</v>
      </c>
      <c r="N79" s="188">
        <f t="shared" si="35"/>
        <v>79287.670000000013</v>
      </c>
      <c r="O79" s="188">
        <f t="shared" si="35"/>
        <v>75168</v>
      </c>
      <c r="P79" s="165">
        <f t="shared" si="15"/>
        <v>106.5837498662231</v>
      </c>
      <c r="Q79" s="165">
        <f t="shared" si="16"/>
        <v>107.28224136493975</v>
      </c>
      <c r="R79" s="165">
        <f t="shared" si="17"/>
        <v>94.804147984169532</v>
      </c>
    </row>
    <row r="80" spans="1:18" ht="15" x14ac:dyDescent="0.2">
      <c r="A80" s="34"/>
      <c r="B80" s="35" t="s">
        <v>343</v>
      </c>
      <c r="C80" s="34" t="s">
        <v>20</v>
      </c>
      <c r="D80" s="36">
        <v>1045</v>
      </c>
      <c r="E80" s="36">
        <v>1007</v>
      </c>
      <c r="F80" s="163">
        <v>1020</v>
      </c>
      <c r="G80" s="36">
        <v>1079</v>
      </c>
      <c r="H80" s="148">
        <v>1356</v>
      </c>
      <c r="I80" s="170">
        <v>1576</v>
      </c>
      <c r="J80" s="187">
        <v>1604.62</v>
      </c>
      <c r="K80" s="188">
        <v>1576.65</v>
      </c>
      <c r="L80" s="188">
        <v>1574.4333333333334</v>
      </c>
      <c r="M80" s="188">
        <v>1576.65</v>
      </c>
      <c r="N80" s="188">
        <v>1572</v>
      </c>
      <c r="O80" s="188">
        <v>1570</v>
      </c>
      <c r="P80" s="165">
        <f t="shared" si="15"/>
        <v>99.84544703914635</v>
      </c>
      <c r="Q80" s="165">
        <f t="shared" si="16"/>
        <v>99.705070878127671</v>
      </c>
      <c r="R80" s="165">
        <f t="shared" si="17"/>
        <v>99.872773536895679</v>
      </c>
    </row>
    <row r="81" spans="1:18" ht="15" x14ac:dyDescent="0.2">
      <c r="A81" s="34"/>
      <c r="B81" s="35" t="s">
        <v>338</v>
      </c>
      <c r="C81" s="34" t="s">
        <v>20</v>
      </c>
      <c r="D81" s="36">
        <v>1038</v>
      </c>
      <c r="E81" s="36">
        <v>960</v>
      </c>
      <c r="F81" s="163">
        <v>927</v>
      </c>
      <c r="G81" s="149">
        <v>968</v>
      </c>
      <c r="H81" s="148">
        <v>1251</v>
      </c>
      <c r="I81" s="170">
        <v>1474</v>
      </c>
      <c r="J81" s="187">
        <v>1497.72</v>
      </c>
      <c r="K81" s="188">
        <v>1492.55</v>
      </c>
      <c r="L81" s="188">
        <v>1478.3666666666666</v>
      </c>
      <c r="M81" s="188">
        <v>1491</v>
      </c>
      <c r="N81" s="188">
        <v>1506</v>
      </c>
      <c r="O81" s="188">
        <v>1510</v>
      </c>
      <c r="P81" s="165">
        <f t="shared" si="15"/>
        <v>101.86917995084666</v>
      </c>
      <c r="Q81" s="165">
        <f t="shared" si="16"/>
        <v>100.90114234029011</v>
      </c>
      <c r="R81" s="165">
        <f t="shared" si="17"/>
        <v>100.265604249668</v>
      </c>
    </row>
    <row r="82" spans="1:18" ht="15" x14ac:dyDescent="0.2">
      <c r="A82" s="166"/>
      <c r="B82" s="167" t="s">
        <v>336</v>
      </c>
      <c r="C82" s="166" t="s">
        <v>24</v>
      </c>
      <c r="D82" s="36">
        <v>19.3</v>
      </c>
      <c r="E82" s="149">
        <v>17.739583333333332</v>
      </c>
      <c r="F82" s="182">
        <f>F83/F81*10</f>
        <v>18.230852211434737</v>
      </c>
      <c r="G82" s="149">
        <v>18.170000000000002</v>
      </c>
      <c r="H82" s="172">
        <f>+H83/H81*10</f>
        <v>20.199840127897684</v>
      </c>
      <c r="I82" s="183">
        <v>20.3</v>
      </c>
      <c r="J82" s="183">
        <v>21.08</v>
      </c>
      <c r="K82" s="181">
        <v>21.520000000000003</v>
      </c>
      <c r="L82" s="181">
        <v>21.513333333333335</v>
      </c>
      <c r="M82" s="181">
        <v>15.856025039123629</v>
      </c>
      <c r="N82" s="181">
        <v>21.4</v>
      </c>
      <c r="O82" s="181">
        <v>21.6</v>
      </c>
      <c r="P82" s="165">
        <f t="shared" si="15"/>
        <v>99.473194917880363</v>
      </c>
      <c r="Q82" s="165">
        <f t="shared" si="16"/>
        <v>99.442379182156117</v>
      </c>
      <c r="R82" s="165">
        <f t="shared" si="17"/>
        <v>100.93457943925235</v>
      </c>
    </row>
    <row r="83" spans="1:18" ht="15" x14ac:dyDescent="0.2">
      <c r="A83" s="34"/>
      <c r="B83" s="35" t="s">
        <v>337</v>
      </c>
      <c r="C83" s="34" t="s">
        <v>25</v>
      </c>
      <c r="D83" s="36">
        <v>2008</v>
      </c>
      <c r="E83" s="36">
        <v>1703</v>
      </c>
      <c r="F83" s="163">
        <v>1690</v>
      </c>
      <c r="G83" s="36">
        <f>G82*G81/10</f>
        <v>1758.8560000000002</v>
      </c>
      <c r="H83" s="163">
        <v>2527</v>
      </c>
      <c r="I83" s="170">
        <v>2999</v>
      </c>
      <c r="J83" s="187">
        <f>J81*J82/10</f>
        <v>3157.1937599999997</v>
      </c>
      <c r="K83" s="188">
        <v>3211.9676000000004</v>
      </c>
      <c r="L83" s="188">
        <f>+L82*L81/10</f>
        <v>3180.4594888888887</v>
      </c>
      <c r="M83" s="188">
        <f t="shared" ref="M83:O83" si="36">+M82*M81/10</f>
        <v>2364.1333333333332</v>
      </c>
      <c r="N83" s="188">
        <f t="shared" si="36"/>
        <v>3222.8399999999997</v>
      </c>
      <c r="O83" s="188">
        <f t="shared" si="36"/>
        <v>3261.6000000000004</v>
      </c>
      <c r="P83" s="165">
        <f t="shared" si="15"/>
        <v>101.332527933752</v>
      </c>
      <c r="Q83" s="165">
        <f t="shared" si="16"/>
        <v>100.33849656515837</v>
      </c>
      <c r="R83" s="165">
        <f t="shared" si="17"/>
        <v>101.20266597162752</v>
      </c>
    </row>
    <row r="84" spans="1:18" ht="15" x14ac:dyDescent="0.2">
      <c r="A84" s="31" t="s">
        <v>96</v>
      </c>
      <c r="B84" s="32" t="s">
        <v>97</v>
      </c>
      <c r="C84" s="31" t="s">
        <v>20</v>
      </c>
      <c r="D84" s="151">
        <f t="shared" ref="D84:J84" si="37">D85+D89+D93+D97+D101+D105+D109+D113+D117+D121+D125</f>
        <v>16154</v>
      </c>
      <c r="E84" s="151">
        <f t="shared" si="37"/>
        <v>17303</v>
      </c>
      <c r="F84" s="151">
        <f t="shared" si="37"/>
        <v>17854</v>
      </c>
      <c r="G84" s="151">
        <f t="shared" si="37"/>
        <v>20437</v>
      </c>
      <c r="H84" s="151">
        <f t="shared" si="37"/>
        <v>22028</v>
      </c>
      <c r="I84" s="197">
        <f t="shared" si="37"/>
        <v>23159</v>
      </c>
      <c r="J84" s="197">
        <f t="shared" si="37"/>
        <v>23289.47</v>
      </c>
      <c r="K84" s="204">
        <f>K85+K89+K93+K97+K101+K105+K109+K113+K117+K121+K125</f>
        <v>23572.46</v>
      </c>
      <c r="L84" s="204">
        <f t="shared" ref="L84:O84" si="38">L85+L89+L93+L97+L101+L105+L109+L113+L117+L121+L125</f>
        <v>25120.645000000004</v>
      </c>
      <c r="M84" s="204">
        <f t="shared" si="38"/>
        <v>23710.53</v>
      </c>
      <c r="N84" s="204">
        <f>N85+N89+N93+N97+N101+N105+N109+N113+N117+N121+N125</f>
        <v>23829</v>
      </c>
      <c r="O84" s="204">
        <f t="shared" si="38"/>
        <v>24510</v>
      </c>
      <c r="P84" s="162">
        <f t="shared" si="15"/>
        <v>94.858233138520106</v>
      </c>
      <c r="Q84" s="162">
        <f t="shared" si="16"/>
        <v>101.08830389361145</v>
      </c>
      <c r="R84" s="162">
        <f t="shared" si="17"/>
        <v>102.85786226866422</v>
      </c>
    </row>
    <row r="85" spans="1:18" ht="45" x14ac:dyDescent="0.2">
      <c r="A85" s="34"/>
      <c r="B85" s="35" t="s">
        <v>98</v>
      </c>
      <c r="C85" s="34" t="s">
        <v>20</v>
      </c>
      <c r="D85" s="36">
        <v>622</v>
      </c>
      <c r="E85" s="36">
        <v>875</v>
      </c>
      <c r="F85" s="163">
        <v>1152</v>
      </c>
      <c r="G85" s="36">
        <v>1170</v>
      </c>
      <c r="H85" s="148">
        <v>1340</v>
      </c>
      <c r="I85" s="185">
        <v>1367</v>
      </c>
      <c r="J85" s="195">
        <v>1272.76</v>
      </c>
      <c r="K85" s="196">
        <v>1274.51</v>
      </c>
      <c r="L85" s="196">
        <v>1272.2550000000001</v>
      </c>
      <c r="M85" s="196">
        <v>1274.51</v>
      </c>
      <c r="N85" s="196">
        <v>1230</v>
      </c>
      <c r="O85" s="196">
        <v>1200</v>
      </c>
      <c r="P85" s="165">
        <f t="shared" si="15"/>
        <v>96.678731858000162</v>
      </c>
      <c r="Q85" s="165">
        <f t="shared" si="16"/>
        <v>96.507677460357314</v>
      </c>
      <c r="R85" s="165">
        <f t="shared" si="17"/>
        <v>97.560975609756099</v>
      </c>
    </row>
    <row r="86" spans="1:18" ht="15" x14ac:dyDescent="0.2">
      <c r="A86" s="34"/>
      <c r="B86" s="35" t="s">
        <v>94</v>
      </c>
      <c r="C86" s="34" t="s">
        <v>20</v>
      </c>
      <c r="D86" s="36">
        <v>468</v>
      </c>
      <c r="E86" s="36">
        <v>618</v>
      </c>
      <c r="F86" s="163">
        <v>818</v>
      </c>
      <c r="G86" s="36">
        <v>822</v>
      </c>
      <c r="H86" s="163">
        <v>855</v>
      </c>
      <c r="I86" s="170">
        <v>1036</v>
      </c>
      <c r="J86" s="187">
        <v>1030.26</v>
      </c>
      <c r="K86" s="188">
        <v>1066.3800000000001</v>
      </c>
      <c r="L86" s="188">
        <v>1068.19</v>
      </c>
      <c r="M86" s="188">
        <v>1065</v>
      </c>
      <c r="N86" s="188">
        <v>1050</v>
      </c>
      <c r="O86" s="188">
        <v>1050</v>
      </c>
      <c r="P86" s="165">
        <f t="shared" si="15"/>
        <v>98.297119426319284</v>
      </c>
      <c r="Q86" s="165">
        <f t="shared" si="16"/>
        <v>98.463962189838512</v>
      </c>
      <c r="R86" s="165">
        <f t="shared" si="17"/>
        <v>100</v>
      </c>
    </row>
    <row r="87" spans="1:18" ht="15" x14ac:dyDescent="0.2">
      <c r="A87" s="166"/>
      <c r="B87" s="167" t="s">
        <v>95</v>
      </c>
      <c r="C87" s="166" t="s">
        <v>24</v>
      </c>
      <c r="D87" s="149">
        <v>66.8</v>
      </c>
      <c r="E87" s="149">
        <v>72.3</v>
      </c>
      <c r="F87" s="182">
        <f>F88/F86*10</f>
        <v>67.347188264058687</v>
      </c>
      <c r="G87" s="149">
        <f>G88/G86*10</f>
        <v>84.428223844282243</v>
      </c>
      <c r="H87" s="190">
        <v>80</v>
      </c>
      <c r="I87" s="170">
        <v>128</v>
      </c>
      <c r="J87" s="183">
        <v>126.54</v>
      </c>
      <c r="K87" s="181">
        <v>129.84817145741567</v>
      </c>
      <c r="L87" s="188">
        <v>130.17408572870784</v>
      </c>
      <c r="M87" s="181">
        <v>61.032863849765263</v>
      </c>
      <c r="N87" s="181">
        <f>+N88/N86*10</f>
        <v>131.42857142857142</v>
      </c>
      <c r="O87" s="181">
        <v>133</v>
      </c>
      <c r="P87" s="165">
        <f t="shared" si="15"/>
        <v>100.96369849101765</v>
      </c>
      <c r="Q87" s="165">
        <f t="shared" si="16"/>
        <v>101.21711376711535</v>
      </c>
      <c r="R87" s="165">
        <f t="shared" si="17"/>
        <v>101.19565217391305</v>
      </c>
    </row>
    <row r="88" spans="1:18" ht="15" x14ac:dyDescent="0.2">
      <c r="A88" s="34"/>
      <c r="B88" s="35" t="s">
        <v>85</v>
      </c>
      <c r="C88" s="34" t="s">
        <v>25</v>
      </c>
      <c r="D88" s="36">
        <v>3127</v>
      </c>
      <c r="E88" s="36">
        <v>4468</v>
      </c>
      <c r="F88" s="163">
        <v>5509</v>
      </c>
      <c r="G88" s="36">
        <v>6940</v>
      </c>
      <c r="H88" s="163">
        <f>+H87*H86/10</f>
        <v>6840</v>
      </c>
      <c r="I88" s="170">
        <v>13358</v>
      </c>
      <c r="J88" s="187">
        <v>13033.75</v>
      </c>
      <c r="K88" s="188">
        <v>13846.749307875894</v>
      </c>
      <c r="L88" s="188">
        <f>L87*L86/10</f>
        <v>13905.065663454841</v>
      </c>
      <c r="M88" s="188">
        <v>6500</v>
      </c>
      <c r="N88" s="188">
        <v>13800</v>
      </c>
      <c r="O88" s="188">
        <f>+O87*O86/10</f>
        <v>13965</v>
      </c>
      <c r="P88" s="165">
        <f t="shared" si="15"/>
        <v>99.244407282944564</v>
      </c>
      <c r="Q88" s="165">
        <f t="shared" si="16"/>
        <v>99.662380629298283</v>
      </c>
      <c r="R88" s="165">
        <f t="shared" si="17"/>
        <v>101.19565217391305</v>
      </c>
    </row>
    <row r="89" spans="1:18" ht="15" x14ac:dyDescent="0.2">
      <c r="A89" s="34"/>
      <c r="B89" s="35" t="s">
        <v>99</v>
      </c>
      <c r="C89" s="34" t="s">
        <v>20</v>
      </c>
      <c r="D89" s="36">
        <v>462</v>
      </c>
      <c r="E89" s="36">
        <v>513</v>
      </c>
      <c r="F89" s="163">
        <v>706</v>
      </c>
      <c r="G89" s="36">
        <v>1119</v>
      </c>
      <c r="H89" s="148">
        <v>1180</v>
      </c>
      <c r="I89" s="170">
        <v>1231</v>
      </c>
      <c r="J89" s="187">
        <v>1261.05</v>
      </c>
      <c r="K89" s="188">
        <v>1251.3899999999999</v>
      </c>
      <c r="L89" s="188">
        <v>1250.6949999999999</v>
      </c>
      <c r="M89" s="188">
        <v>1250</v>
      </c>
      <c r="N89" s="188">
        <v>1281.4000000000001</v>
      </c>
      <c r="O89" s="188">
        <v>1250</v>
      </c>
      <c r="P89" s="165">
        <f t="shared" si="15"/>
        <v>102.45503500053972</v>
      </c>
      <c r="Q89" s="165">
        <f t="shared" si="16"/>
        <v>102.39813327579732</v>
      </c>
      <c r="R89" s="165">
        <f t="shared" si="17"/>
        <v>97.549555174028399</v>
      </c>
    </row>
    <row r="90" spans="1:18" ht="15" x14ac:dyDescent="0.2">
      <c r="A90" s="34"/>
      <c r="B90" s="35" t="s">
        <v>94</v>
      </c>
      <c r="C90" s="34" t="s">
        <v>20</v>
      </c>
      <c r="D90" s="36">
        <v>391</v>
      </c>
      <c r="E90" s="36">
        <v>387</v>
      </c>
      <c r="F90" s="163">
        <v>399</v>
      </c>
      <c r="G90" s="36">
        <v>508</v>
      </c>
      <c r="H90" s="148">
        <v>525</v>
      </c>
      <c r="I90" s="170">
        <v>724</v>
      </c>
      <c r="J90" s="187">
        <v>864.69</v>
      </c>
      <c r="K90" s="188">
        <v>934.46</v>
      </c>
      <c r="L90" s="188">
        <v>957.23</v>
      </c>
      <c r="M90" s="188">
        <v>945</v>
      </c>
      <c r="N90" s="188">
        <v>1010.5</v>
      </c>
      <c r="O90" s="188">
        <v>1040</v>
      </c>
      <c r="P90" s="165">
        <f t="shared" ref="P90:P145" si="39">IFERROR(N90/L90*100,"")</f>
        <v>105.56501572244915</v>
      </c>
      <c r="Q90" s="165">
        <f t="shared" ref="Q90:Q141" si="40">IFERROR(N90/K90*100,"")</f>
        <v>108.13731994948954</v>
      </c>
      <c r="R90" s="165">
        <f t="shared" ref="R90:R141" si="41">IFERROR(O90/N90*100,"")</f>
        <v>102.91934685799109</v>
      </c>
    </row>
    <row r="91" spans="1:18" ht="15" x14ac:dyDescent="0.2">
      <c r="A91" s="166"/>
      <c r="B91" s="167" t="s">
        <v>95</v>
      </c>
      <c r="C91" s="166" t="s">
        <v>24</v>
      </c>
      <c r="D91" s="149">
        <v>67</v>
      </c>
      <c r="E91" s="149">
        <v>69</v>
      </c>
      <c r="F91" s="182">
        <v>73.400000000000006</v>
      </c>
      <c r="G91" s="149">
        <v>70.83</v>
      </c>
      <c r="H91" s="172">
        <v>74.900000000000006</v>
      </c>
      <c r="I91" s="170">
        <v>79</v>
      </c>
      <c r="J91" s="183">
        <v>81.73</v>
      </c>
      <c r="K91" s="181">
        <v>85.07</v>
      </c>
      <c r="L91" s="188">
        <v>86.534999999999997</v>
      </c>
      <c r="M91" s="181">
        <v>33.106486380560455</v>
      </c>
      <c r="N91" s="181">
        <v>89.17</v>
      </c>
      <c r="O91" s="181">
        <v>93</v>
      </c>
      <c r="P91" s="165">
        <f t="shared" si="39"/>
        <v>103.04501068931646</v>
      </c>
      <c r="Q91" s="165">
        <f t="shared" si="40"/>
        <v>104.8195603620548</v>
      </c>
      <c r="R91" s="165">
        <f t="shared" si="41"/>
        <v>104.29516653583045</v>
      </c>
    </row>
    <row r="92" spans="1:18" ht="15" x14ac:dyDescent="0.2">
      <c r="A92" s="34"/>
      <c r="B92" s="35" t="s">
        <v>85</v>
      </c>
      <c r="C92" s="34" t="s">
        <v>25</v>
      </c>
      <c r="D92" s="36">
        <v>2624</v>
      </c>
      <c r="E92" s="36">
        <v>2670</v>
      </c>
      <c r="F92" s="163">
        <f>F91*F90/10</f>
        <v>2928.6600000000003</v>
      </c>
      <c r="G92" s="36">
        <f>G91*G90/10</f>
        <v>3598.1639999999998</v>
      </c>
      <c r="H92" s="163">
        <f>+H91*H90/10</f>
        <v>3932.25</v>
      </c>
      <c r="I92" s="170">
        <v>5742</v>
      </c>
      <c r="J92" s="187">
        <f>(J90*J91)/10</f>
        <v>7067.1113700000005</v>
      </c>
      <c r="K92" s="188">
        <f t="shared" ref="K92:M92" si="42">+K91*K90/10</f>
        <v>7949.4512199999999</v>
      </c>
      <c r="L92" s="188">
        <f t="shared" si="42"/>
        <v>8283.3898050000007</v>
      </c>
      <c r="M92" s="188">
        <f t="shared" si="42"/>
        <v>3128.562962962963</v>
      </c>
      <c r="N92" s="188">
        <f>+N91*N90/10</f>
        <v>9010.6285000000007</v>
      </c>
      <c r="O92" s="188">
        <f>+O91*O90/10</f>
        <v>9672</v>
      </c>
      <c r="P92" s="165">
        <f t="shared" si="39"/>
        <v>108.77948173537632</v>
      </c>
      <c r="Q92" s="165">
        <f t="shared" si="40"/>
        <v>113.34906335836349</v>
      </c>
      <c r="R92" s="165">
        <f t="shared" si="41"/>
        <v>107.33990420313077</v>
      </c>
    </row>
    <row r="93" spans="1:18" ht="15" x14ac:dyDescent="0.2">
      <c r="A93" s="34"/>
      <c r="B93" s="35" t="s">
        <v>100</v>
      </c>
      <c r="C93" s="34" t="s">
        <v>20</v>
      </c>
      <c r="D93" s="36">
        <v>1441</v>
      </c>
      <c r="E93" s="36">
        <v>1754</v>
      </c>
      <c r="F93" s="163">
        <v>1760</v>
      </c>
      <c r="G93" s="36">
        <v>1818</v>
      </c>
      <c r="H93" s="148">
        <v>1804</v>
      </c>
      <c r="I93" s="170">
        <v>2047</v>
      </c>
      <c r="J93" s="187">
        <v>1933.19</v>
      </c>
      <c r="K93" s="188">
        <v>1911</v>
      </c>
      <c r="L93" s="188">
        <v>1945</v>
      </c>
      <c r="M93" s="188">
        <v>1920</v>
      </c>
      <c r="N93" s="188">
        <v>1807</v>
      </c>
      <c r="O93" s="188">
        <v>1930</v>
      </c>
      <c r="P93" s="165">
        <f t="shared" si="39"/>
        <v>92.904884318766065</v>
      </c>
      <c r="Q93" s="165">
        <f t="shared" si="40"/>
        <v>94.557823129251702</v>
      </c>
      <c r="R93" s="165">
        <f t="shared" si="41"/>
        <v>106.80686220254564</v>
      </c>
    </row>
    <row r="94" spans="1:18" ht="15" x14ac:dyDescent="0.2">
      <c r="A94" s="34"/>
      <c r="B94" s="35" t="s">
        <v>94</v>
      </c>
      <c r="C94" s="34" t="s">
        <v>20</v>
      </c>
      <c r="D94" s="36">
        <v>1379</v>
      </c>
      <c r="E94" s="36">
        <v>1584</v>
      </c>
      <c r="F94" s="163">
        <v>1691</v>
      </c>
      <c r="G94" s="36">
        <v>1700</v>
      </c>
      <c r="H94" s="148">
        <v>1676</v>
      </c>
      <c r="I94" s="170">
        <v>1756</v>
      </c>
      <c r="J94" s="187">
        <v>1779.63</v>
      </c>
      <c r="K94" s="188">
        <v>1812.8500000000001</v>
      </c>
      <c r="L94" s="188">
        <v>1873.9250000000002</v>
      </c>
      <c r="M94" s="188">
        <v>1830</v>
      </c>
      <c r="N94" s="188">
        <v>1718.3</v>
      </c>
      <c r="O94" s="188">
        <v>1800</v>
      </c>
      <c r="P94" s="165">
        <f t="shared" si="39"/>
        <v>91.695238603465981</v>
      </c>
      <c r="Q94" s="165">
        <f t="shared" si="40"/>
        <v>94.78445541550596</v>
      </c>
      <c r="R94" s="165">
        <f t="shared" si="41"/>
        <v>104.75469941220975</v>
      </c>
    </row>
    <row r="95" spans="1:18" ht="15" x14ac:dyDescent="0.2">
      <c r="A95" s="166"/>
      <c r="B95" s="167" t="s">
        <v>95</v>
      </c>
      <c r="C95" s="166" t="s">
        <v>24</v>
      </c>
      <c r="D95" s="149">
        <v>333.01667875271937</v>
      </c>
      <c r="E95" s="149">
        <v>331.19949494949492</v>
      </c>
      <c r="F95" s="182">
        <f>F96/F94*10</f>
        <v>327.02542874039034</v>
      </c>
      <c r="G95" s="149">
        <v>311.43</v>
      </c>
      <c r="H95" s="172">
        <f>+H96/H94*10</f>
        <v>338.5799522673031</v>
      </c>
      <c r="I95" s="170">
        <v>340</v>
      </c>
      <c r="J95" s="183">
        <v>359.58</v>
      </c>
      <c r="K95" s="181">
        <v>388.41183771409658</v>
      </c>
      <c r="L95" s="188">
        <v>388.70591885704829</v>
      </c>
      <c r="M95" s="181">
        <v>183.65824841234678</v>
      </c>
      <c r="N95" s="181">
        <v>391.83</v>
      </c>
      <c r="O95" s="181">
        <v>392</v>
      </c>
      <c r="P95" s="165">
        <f t="shared" si="39"/>
        <v>100.80371329362252</v>
      </c>
      <c r="Q95" s="165">
        <f t="shared" si="40"/>
        <v>100.88003555865346</v>
      </c>
      <c r="R95" s="165">
        <f t="shared" si="41"/>
        <v>100.04338616236635</v>
      </c>
    </row>
    <row r="96" spans="1:18" ht="15" x14ac:dyDescent="0.2">
      <c r="A96" s="34"/>
      <c r="B96" s="35" t="s">
        <v>85</v>
      </c>
      <c r="C96" s="34" t="s">
        <v>25</v>
      </c>
      <c r="D96" s="36">
        <v>45923</v>
      </c>
      <c r="E96" s="36">
        <v>52462</v>
      </c>
      <c r="F96" s="163">
        <v>55300</v>
      </c>
      <c r="G96" s="36">
        <f>G95*G94/10</f>
        <v>52943.1</v>
      </c>
      <c r="H96" s="163">
        <v>56746</v>
      </c>
      <c r="I96" s="170">
        <v>59738</v>
      </c>
      <c r="J96" s="187">
        <f>J94*J95/10</f>
        <v>63991.935539999999</v>
      </c>
      <c r="K96" s="188">
        <f t="shared" ref="K96:O96" si="43">+K95*K94/10</f>
        <v>70413.240000000005</v>
      </c>
      <c r="L96" s="188">
        <f t="shared" si="43"/>
        <v>72840.573899419425</v>
      </c>
      <c r="M96" s="188">
        <f t="shared" si="43"/>
        <v>33609.45945945946</v>
      </c>
      <c r="N96" s="188">
        <f>+N95*N94/10</f>
        <v>67328.1489</v>
      </c>
      <c r="O96" s="188">
        <f t="shared" si="43"/>
        <v>70560</v>
      </c>
      <c r="P96" s="165">
        <f t="shared" si="39"/>
        <v>92.432205425740946</v>
      </c>
      <c r="Q96" s="165">
        <f t="shared" si="40"/>
        <v>95.618592327238446</v>
      </c>
      <c r="R96" s="165">
        <f t="shared" si="41"/>
        <v>104.80014845618308</v>
      </c>
    </row>
    <row r="97" spans="1:18" ht="15" x14ac:dyDescent="0.2">
      <c r="A97" s="34"/>
      <c r="B97" s="35" t="s">
        <v>101</v>
      </c>
      <c r="C97" s="34" t="s">
        <v>20</v>
      </c>
      <c r="D97" s="36">
        <v>2326</v>
      </c>
      <c r="E97" s="36">
        <v>2338</v>
      </c>
      <c r="F97" s="163">
        <v>2365</v>
      </c>
      <c r="G97" s="36">
        <v>2476</v>
      </c>
      <c r="H97" s="148">
        <v>2406</v>
      </c>
      <c r="I97" s="170">
        <v>2463</v>
      </c>
      <c r="J97" s="187">
        <v>2507.6</v>
      </c>
      <c r="K97" s="188">
        <v>2467.04</v>
      </c>
      <c r="L97" s="188">
        <v>2470</v>
      </c>
      <c r="M97" s="188">
        <v>2467.04</v>
      </c>
      <c r="N97" s="188">
        <v>2478</v>
      </c>
      <c r="O97" s="188">
        <v>2500</v>
      </c>
      <c r="P97" s="165">
        <f t="shared" si="39"/>
        <v>100.3238866396761</v>
      </c>
      <c r="Q97" s="165">
        <f t="shared" si="40"/>
        <v>100.44425708541409</v>
      </c>
      <c r="R97" s="165">
        <f t="shared" si="41"/>
        <v>100.88781275221955</v>
      </c>
    </row>
    <row r="98" spans="1:18" ht="15" x14ac:dyDescent="0.2">
      <c r="A98" s="34"/>
      <c r="B98" s="35" t="s">
        <v>94</v>
      </c>
      <c r="C98" s="34" t="s">
        <v>20</v>
      </c>
      <c r="D98" s="36">
        <v>2272</v>
      </c>
      <c r="E98" s="36">
        <v>2260</v>
      </c>
      <c r="F98" s="163">
        <v>2236</v>
      </c>
      <c r="G98" s="36">
        <v>2302</v>
      </c>
      <c r="H98" s="148">
        <v>2189</v>
      </c>
      <c r="I98" s="170">
        <v>2260</v>
      </c>
      <c r="J98" s="187">
        <v>2424.9</v>
      </c>
      <c r="K98" s="188">
        <v>2375.2399999999998</v>
      </c>
      <c r="L98" s="188">
        <v>2412.62</v>
      </c>
      <c r="M98" s="188">
        <v>2390</v>
      </c>
      <c r="N98" s="188">
        <v>2403.5</v>
      </c>
      <c r="O98" s="188">
        <v>2450</v>
      </c>
      <c r="P98" s="165">
        <f t="shared" si="39"/>
        <v>99.621987714600721</v>
      </c>
      <c r="Q98" s="165">
        <f t="shared" si="40"/>
        <v>101.1897745069972</v>
      </c>
      <c r="R98" s="165">
        <f t="shared" si="41"/>
        <v>101.93467859371749</v>
      </c>
    </row>
    <row r="99" spans="1:18" ht="15" x14ac:dyDescent="0.2">
      <c r="A99" s="166"/>
      <c r="B99" s="167" t="s">
        <v>95</v>
      </c>
      <c r="C99" s="166" t="s">
        <v>24</v>
      </c>
      <c r="D99" s="149">
        <v>80.099999999999994</v>
      </c>
      <c r="E99" s="149">
        <v>80.398230088495581</v>
      </c>
      <c r="F99" s="182">
        <f>F100/F98*10</f>
        <v>80.241502683363152</v>
      </c>
      <c r="G99" s="36">
        <v>82.16</v>
      </c>
      <c r="H99" s="172">
        <f>+H100/H98*10</f>
        <v>96.587482868889907</v>
      </c>
      <c r="I99" s="170">
        <v>99</v>
      </c>
      <c r="J99" s="183">
        <v>98.05</v>
      </c>
      <c r="K99" s="181">
        <v>97.960079823512572</v>
      </c>
      <c r="L99" s="188">
        <v>101.48003991175628</v>
      </c>
      <c r="M99" s="181">
        <v>73.26027564827443</v>
      </c>
      <c r="N99" s="181">
        <v>97.35</v>
      </c>
      <c r="O99" s="181">
        <v>105</v>
      </c>
      <c r="P99" s="165">
        <f t="shared" si="39"/>
        <v>95.930194829103698</v>
      </c>
      <c r="Q99" s="165">
        <f t="shared" si="40"/>
        <v>99.377215877516932</v>
      </c>
      <c r="R99" s="165">
        <f t="shared" si="41"/>
        <v>107.85824345146379</v>
      </c>
    </row>
    <row r="100" spans="1:18" ht="15" x14ac:dyDescent="0.2">
      <c r="A100" s="34"/>
      <c r="B100" s="35" t="s">
        <v>85</v>
      </c>
      <c r="C100" s="34" t="s">
        <v>25</v>
      </c>
      <c r="D100" s="36">
        <v>18211</v>
      </c>
      <c r="E100" s="36">
        <v>18170</v>
      </c>
      <c r="F100" s="163">
        <v>17942</v>
      </c>
      <c r="G100" s="36">
        <f>G99*G98/10</f>
        <v>18913.231999999996</v>
      </c>
      <c r="H100" s="163">
        <v>21143</v>
      </c>
      <c r="I100" s="170">
        <v>22376</v>
      </c>
      <c r="J100" s="187">
        <f>J98*J99/10</f>
        <v>23776.144500000002</v>
      </c>
      <c r="K100" s="188">
        <f t="shared" ref="K100:M100" si="44">+K99*K98/10</f>
        <v>23267.87</v>
      </c>
      <c r="L100" s="188">
        <f t="shared" si="44"/>
        <v>24483.277389190142</v>
      </c>
      <c r="M100" s="188">
        <f t="shared" si="44"/>
        <v>17509.205879937588</v>
      </c>
      <c r="N100" s="188">
        <f>+N99*N98/10</f>
        <v>23398.072499999998</v>
      </c>
      <c r="O100" s="188">
        <f>+O99*O98/10</f>
        <v>25725</v>
      </c>
      <c r="P100" s="165">
        <f t="shared" si="39"/>
        <v>95.567566907242224</v>
      </c>
      <c r="Q100" s="165">
        <f t="shared" si="40"/>
        <v>100.55958065779119</v>
      </c>
      <c r="R100" s="165">
        <f t="shared" si="41"/>
        <v>109.94495379907896</v>
      </c>
    </row>
    <row r="101" spans="1:18" ht="15" x14ac:dyDescent="0.2">
      <c r="A101" s="34"/>
      <c r="B101" s="35" t="s">
        <v>102</v>
      </c>
      <c r="C101" s="34" t="s">
        <v>20</v>
      </c>
      <c r="D101" s="36">
        <v>3200</v>
      </c>
      <c r="E101" s="36">
        <v>3300</v>
      </c>
      <c r="F101" s="163">
        <v>3373</v>
      </c>
      <c r="G101" s="36">
        <v>3838</v>
      </c>
      <c r="H101" s="148">
        <v>4450</v>
      </c>
      <c r="I101" s="170">
        <v>4525</v>
      </c>
      <c r="J101" s="187">
        <v>4421.7</v>
      </c>
      <c r="K101" s="188">
        <v>4388.67</v>
      </c>
      <c r="L101" s="188">
        <v>4394.335</v>
      </c>
      <c r="M101" s="188">
        <v>4388.67</v>
      </c>
      <c r="N101" s="188">
        <v>4329.5</v>
      </c>
      <c r="O101" s="188">
        <v>4280</v>
      </c>
      <c r="P101" s="165">
        <f t="shared" si="39"/>
        <v>98.524577666472851</v>
      </c>
      <c r="Q101" s="165">
        <f t="shared" si="40"/>
        <v>98.651755543251141</v>
      </c>
      <c r="R101" s="165">
        <f t="shared" si="41"/>
        <v>98.856680910035806</v>
      </c>
    </row>
    <row r="102" spans="1:18" ht="15" x14ac:dyDescent="0.2">
      <c r="A102" s="34"/>
      <c r="B102" s="35" t="s">
        <v>103</v>
      </c>
      <c r="C102" s="34" t="s">
        <v>20</v>
      </c>
      <c r="D102" s="36">
        <v>2883</v>
      </c>
      <c r="E102" s="36">
        <v>2983</v>
      </c>
      <c r="F102" s="163">
        <v>3015</v>
      </c>
      <c r="G102" s="36">
        <v>3132</v>
      </c>
      <c r="H102" s="148">
        <v>4200</v>
      </c>
      <c r="I102" s="170">
        <v>4190.8</v>
      </c>
      <c r="J102" s="187">
        <v>4113.38</v>
      </c>
      <c r="K102" s="188">
        <v>4087.2900000000004</v>
      </c>
      <c r="L102" s="188">
        <v>4118.6450000000004</v>
      </c>
      <c r="M102" s="188">
        <v>4087</v>
      </c>
      <c r="N102" s="188">
        <v>3994.7</v>
      </c>
      <c r="O102" s="188">
        <v>4000</v>
      </c>
      <c r="P102" s="165">
        <f t="shared" si="39"/>
        <v>96.990636483600781</v>
      </c>
      <c r="Q102" s="165">
        <f t="shared" si="40"/>
        <v>97.734684840077406</v>
      </c>
      <c r="R102" s="165">
        <f t="shared" si="41"/>
        <v>100.13267579542895</v>
      </c>
    </row>
    <row r="103" spans="1:18" ht="15" x14ac:dyDescent="0.2">
      <c r="A103" s="166"/>
      <c r="B103" s="167" t="s">
        <v>104</v>
      </c>
      <c r="C103" s="166" t="s">
        <v>24</v>
      </c>
      <c r="D103" s="149">
        <v>94.554283732223382</v>
      </c>
      <c r="E103" s="149">
        <v>95.080482897384314</v>
      </c>
      <c r="F103" s="182">
        <f>F104/F102*10</f>
        <v>95.160862354892203</v>
      </c>
      <c r="G103" s="149">
        <v>99.23</v>
      </c>
      <c r="H103" s="172">
        <f>+H104/H102*10</f>
        <v>96.661904761904765</v>
      </c>
      <c r="I103" s="183">
        <v>97</v>
      </c>
      <c r="J103" s="183">
        <v>96.3</v>
      </c>
      <c r="K103" s="181">
        <v>101.90884424643222</v>
      </c>
      <c r="L103" s="188">
        <v>104.95442212321612</v>
      </c>
      <c r="M103" s="181">
        <v>55.406955853053233</v>
      </c>
      <c r="N103" s="181">
        <v>104.1</v>
      </c>
      <c r="O103" s="181">
        <v>108</v>
      </c>
      <c r="P103" s="165">
        <f t="shared" si="39"/>
        <v>99.185911268976326</v>
      </c>
      <c r="Q103" s="165">
        <f t="shared" si="40"/>
        <v>102.15011343693507</v>
      </c>
      <c r="R103" s="165">
        <f t="shared" si="41"/>
        <v>103.74639769452449</v>
      </c>
    </row>
    <row r="104" spans="1:18" ht="15" x14ac:dyDescent="0.2">
      <c r="A104" s="34"/>
      <c r="B104" s="35" t="s">
        <v>105</v>
      </c>
      <c r="C104" s="34" t="s">
        <v>25</v>
      </c>
      <c r="D104" s="36">
        <v>27260</v>
      </c>
      <c r="E104" s="36">
        <v>28353</v>
      </c>
      <c r="F104" s="163">
        <v>28691</v>
      </c>
      <c r="G104" s="36">
        <f>G103*G102/10</f>
        <v>31078.835999999999</v>
      </c>
      <c r="H104" s="163">
        <v>40598</v>
      </c>
      <c r="I104" s="170">
        <v>40506</v>
      </c>
      <c r="J104" s="187">
        <f>J102*J103/10</f>
        <v>39611.849399999999</v>
      </c>
      <c r="K104" s="188">
        <f t="shared" ref="K104:M104" si="45">+K103*K102/10</f>
        <v>41653.1</v>
      </c>
      <c r="L104" s="188">
        <f t="shared" si="45"/>
        <v>43227.000590567346</v>
      </c>
      <c r="M104" s="188">
        <f t="shared" si="45"/>
        <v>22644.822857142855</v>
      </c>
      <c r="N104" s="188">
        <f>+N103*N102/10</f>
        <v>41584.826999999997</v>
      </c>
      <c r="O104" s="188">
        <f>+O103*O102/10</f>
        <v>43200</v>
      </c>
      <c r="P104" s="165">
        <f t="shared" si="39"/>
        <v>96.201046641839667</v>
      </c>
      <c r="Q104" s="165">
        <f t="shared" si="40"/>
        <v>99.83609143137005</v>
      </c>
      <c r="R104" s="165">
        <f t="shared" si="41"/>
        <v>103.88404405289459</v>
      </c>
    </row>
    <row r="105" spans="1:18" ht="15" x14ac:dyDescent="0.2">
      <c r="A105" s="34"/>
      <c r="B105" s="35" t="s">
        <v>106</v>
      </c>
      <c r="C105" s="34" t="s">
        <v>20</v>
      </c>
      <c r="D105" s="36">
        <v>1040</v>
      </c>
      <c r="E105" s="148">
        <v>1030</v>
      </c>
      <c r="F105" s="163">
        <v>1024</v>
      </c>
      <c r="G105" s="36">
        <v>1050</v>
      </c>
      <c r="H105" s="148">
        <v>1156</v>
      </c>
      <c r="I105" s="170">
        <v>1187</v>
      </c>
      <c r="J105" s="187">
        <v>1200</v>
      </c>
      <c r="K105" s="188">
        <v>1183.9299999999998</v>
      </c>
      <c r="L105" s="188">
        <v>1335.9533333333331</v>
      </c>
      <c r="M105" s="188">
        <v>1184</v>
      </c>
      <c r="N105" s="188">
        <v>1192.5999999999999</v>
      </c>
      <c r="O105" s="188">
        <v>1250</v>
      </c>
      <c r="P105" s="165">
        <f t="shared" si="39"/>
        <v>89.269585264954372</v>
      </c>
      <c r="Q105" s="165">
        <f t="shared" si="40"/>
        <v>100.73230680867957</v>
      </c>
      <c r="R105" s="165">
        <f t="shared" si="41"/>
        <v>104.81301358376658</v>
      </c>
    </row>
    <row r="106" spans="1:18" ht="15" x14ac:dyDescent="0.2">
      <c r="A106" s="34"/>
      <c r="B106" s="35" t="s">
        <v>103</v>
      </c>
      <c r="C106" s="34" t="s">
        <v>20</v>
      </c>
      <c r="D106" s="36">
        <v>1007</v>
      </c>
      <c r="E106" s="148">
        <v>1005</v>
      </c>
      <c r="F106" s="163">
        <v>998</v>
      </c>
      <c r="G106" s="36">
        <v>1022</v>
      </c>
      <c r="H106" s="163">
        <v>1116</v>
      </c>
      <c r="I106" s="170">
        <v>1153</v>
      </c>
      <c r="J106" s="187">
        <v>1155</v>
      </c>
      <c r="K106" s="188">
        <v>1164.3800000000001</v>
      </c>
      <c r="L106" s="188">
        <v>1270.9533333333334</v>
      </c>
      <c r="M106" s="188">
        <v>1170</v>
      </c>
      <c r="N106" s="188">
        <v>1156.9000000000001</v>
      </c>
      <c r="O106" s="188">
        <v>1165</v>
      </c>
      <c r="P106" s="165">
        <f t="shared" si="39"/>
        <v>91.026158841394661</v>
      </c>
      <c r="Q106" s="165">
        <f t="shared" si="40"/>
        <v>99.357598035005751</v>
      </c>
      <c r="R106" s="165">
        <f t="shared" si="41"/>
        <v>100.70014694442042</v>
      </c>
    </row>
    <row r="107" spans="1:18" ht="15" x14ac:dyDescent="0.2">
      <c r="A107" s="166"/>
      <c r="B107" s="167" t="s">
        <v>104</v>
      </c>
      <c r="C107" s="166" t="s">
        <v>24</v>
      </c>
      <c r="D107" s="149">
        <v>102.6</v>
      </c>
      <c r="E107" s="172">
        <v>106.6</v>
      </c>
      <c r="F107" s="182">
        <f>F108/F106*10</f>
        <v>107.61523046092185</v>
      </c>
      <c r="G107" s="149">
        <v>106.7</v>
      </c>
      <c r="H107" s="172">
        <f>+H108/H105*10</f>
        <v>122.85467128027682</v>
      </c>
      <c r="I107" s="170">
        <v>127</v>
      </c>
      <c r="J107" s="183">
        <v>130</v>
      </c>
      <c r="K107" s="181">
        <v>125.93277108847627</v>
      </c>
      <c r="L107" s="181">
        <v>128.62184739231751</v>
      </c>
      <c r="M107" s="181">
        <v>128.62184739231751</v>
      </c>
      <c r="N107" s="181">
        <v>127.98</v>
      </c>
      <c r="O107" s="181">
        <v>131.31092369615874</v>
      </c>
      <c r="P107" s="165">
        <f t="shared" si="39"/>
        <v>99.500981050007965</v>
      </c>
      <c r="Q107" s="165">
        <f t="shared" si="40"/>
        <v>101.6256522379591</v>
      </c>
      <c r="R107" s="165">
        <f t="shared" si="41"/>
        <v>102.60269080806277</v>
      </c>
    </row>
    <row r="108" spans="1:18" ht="15" x14ac:dyDescent="0.2">
      <c r="A108" s="34"/>
      <c r="B108" s="35" t="s">
        <v>105</v>
      </c>
      <c r="C108" s="34" t="s">
        <v>25</v>
      </c>
      <c r="D108" s="36">
        <v>10329</v>
      </c>
      <c r="E108" s="148">
        <v>10713</v>
      </c>
      <c r="F108" s="163">
        <v>10740</v>
      </c>
      <c r="G108" s="36">
        <f>G107*G106/10</f>
        <v>10904.740000000002</v>
      </c>
      <c r="H108" s="163">
        <v>14202</v>
      </c>
      <c r="I108" s="170">
        <v>14594</v>
      </c>
      <c r="J108" s="187">
        <f>J106*J107/10</f>
        <v>15015</v>
      </c>
      <c r="K108" s="188">
        <v>14663.36</v>
      </c>
      <c r="L108" s="188">
        <v>16347.236568275726</v>
      </c>
      <c r="M108" s="188">
        <f>M106*M107/10</f>
        <v>15048.756144901146</v>
      </c>
      <c r="N108" s="188">
        <f>N106*N107/10</f>
        <v>14806.0062</v>
      </c>
      <c r="O108" s="188">
        <f>+O107*O106/10</f>
        <v>15297.722610602494</v>
      </c>
      <c r="P108" s="165">
        <f t="shared" si="39"/>
        <v>90.571921059326215</v>
      </c>
      <c r="Q108" s="165">
        <f t="shared" si="40"/>
        <v>100.97280705104423</v>
      </c>
      <c r="R108" s="165">
        <f t="shared" si="41"/>
        <v>103.32106041264856</v>
      </c>
    </row>
    <row r="109" spans="1:18" ht="15" x14ac:dyDescent="0.2">
      <c r="A109" s="34"/>
      <c r="B109" s="35" t="s">
        <v>107</v>
      </c>
      <c r="C109" s="34" t="s">
        <v>20</v>
      </c>
      <c r="D109" s="36">
        <v>4599</v>
      </c>
      <c r="E109" s="148">
        <v>4767</v>
      </c>
      <c r="F109" s="163">
        <v>4739</v>
      </c>
      <c r="G109" s="36">
        <v>5073</v>
      </c>
      <c r="H109" s="148">
        <v>5263</v>
      </c>
      <c r="I109" s="170">
        <v>5406</v>
      </c>
      <c r="J109" s="187">
        <v>5494.97</v>
      </c>
      <c r="K109" s="188">
        <v>5486.3099999999995</v>
      </c>
      <c r="L109" s="188">
        <v>5560</v>
      </c>
      <c r="M109" s="188">
        <v>5486.3099999999995</v>
      </c>
      <c r="N109" s="188">
        <v>5502</v>
      </c>
      <c r="O109" s="188">
        <v>5600</v>
      </c>
      <c r="P109" s="165">
        <f t="shared" si="39"/>
        <v>98.956834532374103</v>
      </c>
      <c r="Q109" s="165">
        <f t="shared" si="40"/>
        <v>100.28598456886324</v>
      </c>
      <c r="R109" s="165">
        <f t="shared" si="41"/>
        <v>101.78117048346056</v>
      </c>
    </row>
    <row r="110" spans="1:18" ht="15" x14ac:dyDescent="0.2">
      <c r="A110" s="34"/>
      <c r="B110" s="35" t="s">
        <v>103</v>
      </c>
      <c r="C110" s="34" t="s">
        <v>20</v>
      </c>
      <c r="D110" s="36">
        <v>4282</v>
      </c>
      <c r="E110" s="148">
        <v>4414</v>
      </c>
      <c r="F110" s="163">
        <v>4341</v>
      </c>
      <c r="G110" s="36">
        <v>4589</v>
      </c>
      <c r="H110" s="148">
        <v>4609</v>
      </c>
      <c r="I110" s="170">
        <v>4870</v>
      </c>
      <c r="J110" s="187">
        <v>4942</v>
      </c>
      <c r="K110" s="188">
        <v>5032.4100000000008</v>
      </c>
      <c r="L110" s="188">
        <v>5166.2049999999999</v>
      </c>
      <c r="M110" s="188">
        <v>5050</v>
      </c>
      <c r="N110" s="188">
        <v>5100</v>
      </c>
      <c r="O110" s="188">
        <v>5300</v>
      </c>
      <c r="P110" s="165">
        <f t="shared" si="39"/>
        <v>98.718498394856567</v>
      </c>
      <c r="Q110" s="165">
        <f t="shared" si="40"/>
        <v>101.34309406427535</v>
      </c>
      <c r="R110" s="165">
        <f t="shared" si="41"/>
        <v>103.92156862745099</v>
      </c>
    </row>
    <row r="111" spans="1:18" ht="15" x14ac:dyDescent="0.2">
      <c r="A111" s="166"/>
      <c r="B111" s="167" t="s">
        <v>104</v>
      </c>
      <c r="C111" s="166" t="s">
        <v>24</v>
      </c>
      <c r="D111" s="149">
        <v>140.66090611863615</v>
      </c>
      <c r="E111" s="172">
        <v>142.70049841413683</v>
      </c>
      <c r="F111" s="182">
        <f>F112/F110*10</f>
        <v>142.71135683022345</v>
      </c>
      <c r="G111" s="149">
        <v>142.78</v>
      </c>
      <c r="H111" s="172">
        <f>+H112/H110*10</f>
        <v>141.05445866782384</v>
      </c>
      <c r="I111" s="170">
        <v>139</v>
      </c>
      <c r="J111" s="183">
        <v>139.33000000000001</v>
      </c>
      <c r="K111" s="181">
        <v>142.5748498234444</v>
      </c>
      <c r="L111" s="188">
        <v>144.28742491172221</v>
      </c>
      <c r="M111" s="181">
        <v>72.712871287128721</v>
      </c>
      <c r="N111" s="181">
        <v>144</v>
      </c>
      <c r="O111" s="181">
        <v>146</v>
      </c>
      <c r="P111" s="165">
        <f t="shared" si="39"/>
        <v>99.800796977354011</v>
      </c>
      <c r="Q111" s="165">
        <f t="shared" si="40"/>
        <v>100.99958034556616</v>
      </c>
      <c r="R111" s="165">
        <f t="shared" si="41"/>
        <v>101.38888888888889</v>
      </c>
    </row>
    <row r="112" spans="1:18" ht="15" x14ac:dyDescent="0.2">
      <c r="A112" s="34"/>
      <c r="B112" s="35" t="s">
        <v>105</v>
      </c>
      <c r="C112" s="34" t="s">
        <v>25</v>
      </c>
      <c r="D112" s="36">
        <v>60231</v>
      </c>
      <c r="E112" s="148">
        <v>62988</v>
      </c>
      <c r="F112" s="163">
        <v>61951</v>
      </c>
      <c r="G112" s="36">
        <f>G111*G110/10</f>
        <v>65521.742000000006</v>
      </c>
      <c r="H112" s="163">
        <v>65012</v>
      </c>
      <c r="I112" s="170">
        <v>67765</v>
      </c>
      <c r="J112" s="187">
        <f>J110*J111/10</f>
        <v>68856.886000000013</v>
      </c>
      <c r="K112" s="188">
        <v>71749.509999999995</v>
      </c>
      <c r="L112" s="188">
        <f>L111*L110/10</f>
        <v>74541.841601606386</v>
      </c>
      <c r="M112" s="188">
        <v>36720</v>
      </c>
      <c r="N112" s="188">
        <v>73440</v>
      </c>
      <c r="O112" s="188">
        <v>77380</v>
      </c>
      <c r="P112" s="165">
        <f t="shared" si="39"/>
        <v>98.521848162143286</v>
      </c>
      <c r="Q112" s="165">
        <f t="shared" si="40"/>
        <v>102.35609971413047</v>
      </c>
      <c r="R112" s="165">
        <f t="shared" si="41"/>
        <v>105.36492374727669</v>
      </c>
    </row>
    <row r="113" spans="1:18" ht="30" x14ac:dyDescent="0.2">
      <c r="A113" s="34"/>
      <c r="B113" s="35" t="s">
        <v>108</v>
      </c>
      <c r="C113" s="34" t="s">
        <v>20</v>
      </c>
      <c r="D113" s="36">
        <v>682</v>
      </c>
      <c r="E113" s="148">
        <v>730</v>
      </c>
      <c r="F113" s="163">
        <v>772</v>
      </c>
      <c r="G113" s="36">
        <v>1620</v>
      </c>
      <c r="H113" s="163">
        <v>1824</v>
      </c>
      <c r="I113" s="185">
        <v>2274</v>
      </c>
      <c r="J113" s="195">
        <v>2620.5</v>
      </c>
      <c r="K113" s="196">
        <v>2938.87</v>
      </c>
      <c r="L113" s="196">
        <v>3225.9133333333334</v>
      </c>
      <c r="M113" s="196">
        <v>3150</v>
      </c>
      <c r="N113" s="196">
        <v>3320</v>
      </c>
      <c r="O113" s="196">
        <v>3600</v>
      </c>
      <c r="P113" s="165">
        <f t="shared" si="39"/>
        <v>102.916590030317</v>
      </c>
      <c r="Q113" s="165">
        <f t="shared" si="40"/>
        <v>112.96858996825311</v>
      </c>
      <c r="R113" s="165">
        <f t="shared" si="41"/>
        <v>108.43373493975903</v>
      </c>
    </row>
    <row r="114" spans="1:18" ht="15" x14ac:dyDescent="0.2">
      <c r="A114" s="34"/>
      <c r="B114" s="35" t="s">
        <v>103</v>
      </c>
      <c r="C114" s="34" t="s">
        <v>20</v>
      </c>
      <c r="D114" s="36">
        <v>578</v>
      </c>
      <c r="E114" s="148">
        <v>614</v>
      </c>
      <c r="F114" s="163">
        <v>645</v>
      </c>
      <c r="G114" s="36">
        <v>1178</v>
      </c>
      <c r="H114" s="163">
        <v>1317</v>
      </c>
      <c r="I114" s="170">
        <v>1655</v>
      </c>
      <c r="J114" s="187">
        <v>1777.7</v>
      </c>
      <c r="K114" s="188">
        <v>1878.47</v>
      </c>
      <c r="L114" s="188">
        <v>2185.6466666666665</v>
      </c>
      <c r="M114" s="188">
        <v>1900</v>
      </c>
      <c r="N114" s="188">
        <v>2107.3000000000002</v>
      </c>
      <c r="O114" s="188">
        <v>2350</v>
      </c>
      <c r="P114" s="165">
        <f t="shared" si="39"/>
        <v>96.415401086482433</v>
      </c>
      <c r="Q114" s="165">
        <f t="shared" si="40"/>
        <v>112.18172235915401</v>
      </c>
      <c r="R114" s="165">
        <f t="shared" si="41"/>
        <v>111.51710719878515</v>
      </c>
    </row>
    <row r="115" spans="1:18" ht="15" x14ac:dyDescent="0.2">
      <c r="A115" s="166"/>
      <c r="B115" s="167" t="s">
        <v>104</v>
      </c>
      <c r="C115" s="166" t="s">
        <v>24</v>
      </c>
      <c r="D115" s="149">
        <v>67.3</v>
      </c>
      <c r="E115" s="172">
        <v>69.951140065146575</v>
      </c>
      <c r="F115" s="182">
        <v>69.63</v>
      </c>
      <c r="G115" s="36">
        <v>76.3</v>
      </c>
      <c r="H115" s="172">
        <v>77.430000000000007</v>
      </c>
      <c r="I115" s="170">
        <v>119</v>
      </c>
      <c r="J115" s="183">
        <v>124.46</v>
      </c>
      <c r="K115" s="181">
        <v>126.68166113911852</v>
      </c>
      <c r="L115" s="181">
        <v>129.45444075941234</v>
      </c>
      <c r="M115" s="181">
        <v>46.911752365857055</v>
      </c>
      <c r="N115" s="181">
        <v>136.4</v>
      </c>
      <c r="O115" s="181">
        <v>140</v>
      </c>
      <c r="P115" s="165">
        <f t="shared" si="39"/>
        <v>105.36525375247328</v>
      </c>
      <c r="Q115" s="165">
        <f t="shared" si="40"/>
        <v>107.67146465675805</v>
      </c>
      <c r="R115" s="165">
        <f t="shared" si="41"/>
        <v>102.63929618768329</v>
      </c>
    </row>
    <row r="116" spans="1:18" ht="15" x14ac:dyDescent="0.2">
      <c r="A116" s="34"/>
      <c r="B116" s="35" t="s">
        <v>105</v>
      </c>
      <c r="C116" s="34" t="s">
        <v>25</v>
      </c>
      <c r="D116" s="36">
        <v>3892</v>
      </c>
      <c r="E116" s="148">
        <v>4295</v>
      </c>
      <c r="F116" s="163">
        <f>F115*F114/10</f>
        <v>4491.1350000000002</v>
      </c>
      <c r="G116" s="36">
        <f>G115*G114/10</f>
        <v>8988.14</v>
      </c>
      <c r="H116" s="163">
        <f>+H115*H114/10</f>
        <v>10197.531000000001</v>
      </c>
      <c r="I116" s="170">
        <v>19750</v>
      </c>
      <c r="J116" s="187">
        <f>J114*J115/10</f>
        <v>22125.254199999999</v>
      </c>
      <c r="K116" s="188">
        <f t="shared" ref="K116:M116" si="46">+K115*K114/10</f>
        <v>23796.769999999997</v>
      </c>
      <c r="L116" s="188">
        <f t="shared" si="46"/>
        <v>28294.166693100698</v>
      </c>
      <c r="M116" s="188">
        <f t="shared" si="46"/>
        <v>8913.2329495128397</v>
      </c>
      <c r="N116" s="188">
        <f>+N115*N114/10</f>
        <v>28743.572000000004</v>
      </c>
      <c r="O116" s="188">
        <f>+O115*O114/10</f>
        <v>32900</v>
      </c>
      <c r="P116" s="165">
        <f t="shared" si="39"/>
        <v>101.58833201123711</v>
      </c>
      <c r="Q116" s="165">
        <f t="shared" si="40"/>
        <v>120.78770354127894</v>
      </c>
      <c r="R116" s="165">
        <f t="shared" si="41"/>
        <v>114.46037395769737</v>
      </c>
    </row>
    <row r="117" spans="1:18" ht="15" x14ac:dyDescent="0.2">
      <c r="A117" s="34"/>
      <c r="B117" s="35" t="s">
        <v>109</v>
      </c>
      <c r="C117" s="34" t="s">
        <v>20</v>
      </c>
      <c r="D117" s="36">
        <v>933</v>
      </c>
      <c r="E117" s="148">
        <v>972</v>
      </c>
      <c r="F117" s="163">
        <v>991</v>
      </c>
      <c r="G117" s="36">
        <v>1126</v>
      </c>
      <c r="H117" s="148">
        <v>1250</v>
      </c>
      <c r="I117" s="170">
        <v>1411</v>
      </c>
      <c r="J117" s="187">
        <v>1419.59</v>
      </c>
      <c r="K117" s="188">
        <v>1432.2700000000002</v>
      </c>
      <c r="L117" s="188">
        <v>1804.8466666666668</v>
      </c>
      <c r="M117" s="188">
        <v>1450</v>
      </c>
      <c r="N117" s="188">
        <v>1455</v>
      </c>
      <c r="O117" s="188">
        <v>1490</v>
      </c>
      <c r="P117" s="165">
        <f t="shared" si="39"/>
        <v>80.616266571121457</v>
      </c>
      <c r="Q117" s="165">
        <f t="shared" si="40"/>
        <v>101.58699127957715</v>
      </c>
      <c r="R117" s="165">
        <f t="shared" si="41"/>
        <v>102.40549828178693</v>
      </c>
    </row>
    <row r="118" spans="1:18" ht="15" x14ac:dyDescent="0.2">
      <c r="A118" s="34"/>
      <c r="B118" s="35" t="s">
        <v>103</v>
      </c>
      <c r="C118" s="34" t="s">
        <v>20</v>
      </c>
      <c r="D118" s="36">
        <v>886</v>
      </c>
      <c r="E118" s="148">
        <v>922</v>
      </c>
      <c r="F118" s="163">
        <v>932</v>
      </c>
      <c r="G118" s="36">
        <v>953</v>
      </c>
      <c r="H118" s="148">
        <v>988</v>
      </c>
      <c r="I118" s="170">
        <v>918.4</v>
      </c>
      <c r="J118" s="187">
        <v>1065.93</v>
      </c>
      <c r="K118" s="188">
        <v>1169.6299999999999</v>
      </c>
      <c r="L118" s="188">
        <v>1453.22</v>
      </c>
      <c r="M118" s="188">
        <v>1200</v>
      </c>
      <c r="N118" s="188">
        <v>1138.2</v>
      </c>
      <c r="O118" s="188">
        <v>1120</v>
      </c>
      <c r="P118" s="165">
        <f t="shared" si="39"/>
        <v>78.3226214888317</v>
      </c>
      <c r="Q118" s="165">
        <f t="shared" si="40"/>
        <v>97.312825423424528</v>
      </c>
      <c r="R118" s="165">
        <f t="shared" si="41"/>
        <v>98.400984009840101</v>
      </c>
    </row>
    <row r="119" spans="1:18" ht="15" x14ac:dyDescent="0.2">
      <c r="A119" s="166"/>
      <c r="B119" s="167" t="s">
        <v>104</v>
      </c>
      <c r="C119" s="166" t="s">
        <v>24</v>
      </c>
      <c r="D119" s="149">
        <v>308</v>
      </c>
      <c r="E119" s="172">
        <v>306</v>
      </c>
      <c r="F119" s="182">
        <v>303.66000000000003</v>
      </c>
      <c r="G119" s="36">
        <v>298.3</v>
      </c>
      <c r="H119" s="172">
        <v>296.63</v>
      </c>
      <c r="I119" s="183">
        <v>267</v>
      </c>
      <c r="J119" s="183">
        <v>269.57</v>
      </c>
      <c r="K119" s="181">
        <v>273.73528380769989</v>
      </c>
      <c r="L119" s="181">
        <v>285.1579282667052</v>
      </c>
      <c r="M119" s="181">
        <v>285.1579282667052</v>
      </c>
      <c r="N119" s="181">
        <v>279.64999999999998</v>
      </c>
      <c r="O119" s="181">
        <v>285</v>
      </c>
      <c r="P119" s="165">
        <f t="shared" si="39"/>
        <v>98.068463920963225</v>
      </c>
      <c r="Q119" s="165">
        <f t="shared" si="40"/>
        <v>102.1607430763128</v>
      </c>
      <c r="R119" s="165">
        <f t="shared" si="41"/>
        <v>101.91310566779906</v>
      </c>
    </row>
    <row r="120" spans="1:18" ht="15" x14ac:dyDescent="0.2">
      <c r="A120" s="34"/>
      <c r="B120" s="35" t="s">
        <v>105</v>
      </c>
      <c r="C120" s="34" t="s">
        <v>25</v>
      </c>
      <c r="D120" s="36">
        <v>27285</v>
      </c>
      <c r="E120" s="148">
        <v>28213</v>
      </c>
      <c r="F120" s="163">
        <f>F119*F118/10</f>
        <v>28301.112000000001</v>
      </c>
      <c r="G120" s="36">
        <f>G119*G118/10</f>
        <v>28427.99</v>
      </c>
      <c r="H120" s="163">
        <f>+H119*H118/10</f>
        <v>29307.044000000002</v>
      </c>
      <c r="I120" s="170">
        <v>24552</v>
      </c>
      <c r="J120" s="187">
        <f>J118*J119/10</f>
        <v>28734.275010000001</v>
      </c>
      <c r="K120" s="188">
        <v>32016.9</v>
      </c>
      <c r="L120" s="188">
        <f t="shared" ref="L120:N120" si="47">+L119*L118/10</f>
        <v>41439.720451574132</v>
      </c>
      <c r="M120" s="188">
        <f t="shared" si="47"/>
        <v>34218.951392004623</v>
      </c>
      <c r="N120" s="188">
        <f t="shared" si="47"/>
        <v>31829.762999999999</v>
      </c>
      <c r="O120" s="188">
        <f>+O119*O118/10</f>
        <v>31920</v>
      </c>
      <c r="P120" s="165">
        <f t="shared" si="39"/>
        <v>76.809791796727509</v>
      </c>
      <c r="Q120" s="165">
        <f t="shared" si="40"/>
        <v>99.415505561125528</v>
      </c>
      <c r="R120" s="165">
        <f t="shared" si="41"/>
        <v>100.28349881210237</v>
      </c>
    </row>
    <row r="121" spans="1:18" ht="15" x14ac:dyDescent="0.2">
      <c r="A121" s="34"/>
      <c r="B121" s="35" t="s">
        <v>110</v>
      </c>
      <c r="C121" s="34" t="s">
        <v>20</v>
      </c>
      <c r="D121" s="36">
        <v>155</v>
      </c>
      <c r="E121" s="148">
        <v>239</v>
      </c>
      <c r="F121" s="163">
        <v>236</v>
      </c>
      <c r="G121" s="36">
        <v>234</v>
      </c>
      <c r="H121" s="163">
        <v>252</v>
      </c>
      <c r="I121" s="170">
        <v>200</v>
      </c>
      <c r="J121" s="187">
        <v>149.11000000000001</v>
      </c>
      <c r="K121" s="188">
        <v>139.16</v>
      </c>
      <c r="L121" s="188">
        <v>176.10666666666665</v>
      </c>
      <c r="M121" s="188">
        <v>140</v>
      </c>
      <c r="N121" s="188">
        <v>115.3</v>
      </c>
      <c r="O121" s="188">
        <v>110</v>
      </c>
      <c r="P121" s="165">
        <f t="shared" si="39"/>
        <v>65.471683827983043</v>
      </c>
      <c r="Q121" s="165">
        <f t="shared" si="40"/>
        <v>82.854268467950561</v>
      </c>
      <c r="R121" s="165">
        <f t="shared" si="41"/>
        <v>95.403295750216827</v>
      </c>
    </row>
    <row r="122" spans="1:18" ht="15" x14ac:dyDescent="0.2">
      <c r="A122" s="34"/>
      <c r="B122" s="35" t="s">
        <v>103</v>
      </c>
      <c r="C122" s="34" t="s">
        <v>20</v>
      </c>
      <c r="D122" s="36">
        <v>125</v>
      </c>
      <c r="E122" s="148">
        <v>221</v>
      </c>
      <c r="F122" s="163">
        <v>224</v>
      </c>
      <c r="G122" s="36">
        <v>219</v>
      </c>
      <c r="H122" s="163">
        <v>232</v>
      </c>
      <c r="I122" s="170">
        <v>196</v>
      </c>
      <c r="J122" s="187">
        <v>146.38999999999999</v>
      </c>
      <c r="K122" s="188">
        <v>134.61000000000001</v>
      </c>
      <c r="L122" s="188">
        <v>163.07333333333335</v>
      </c>
      <c r="M122" s="188">
        <v>136</v>
      </c>
      <c r="N122" s="188">
        <v>113</v>
      </c>
      <c r="O122" s="188">
        <v>100</v>
      </c>
      <c r="P122" s="165">
        <f t="shared" si="39"/>
        <v>69.293978169330757</v>
      </c>
      <c r="Q122" s="165">
        <f t="shared" si="40"/>
        <v>83.946214991456785</v>
      </c>
      <c r="R122" s="165">
        <f t="shared" si="41"/>
        <v>88.495575221238937</v>
      </c>
    </row>
    <row r="123" spans="1:18" ht="15" x14ac:dyDescent="0.2">
      <c r="A123" s="166"/>
      <c r="B123" s="167" t="s">
        <v>104</v>
      </c>
      <c r="C123" s="166" t="s">
        <v>24</v>
      </c>
      <c r="D123" s="149">
        <v>54.6</v>
      </c>
      <c r="E123" s="172">
        <v>61.3</v>
      </c>
      <c r="F123" s="182">
        <v>61.34</v>
      </c>
      <c r="G123" s="36">
        <v>65.569999999999993</v>
      </c>
      <c r="H123" s="172">
        <v>68.099999999999994</v>
      </c>
      <c r="I123" s="183">
        <v>126.1</v>
      </c>
      <c r="J123" s="183">
        <v>125.69</v>
      </c>
      <c r="K123" s="181">
        <v>132.88982987890944</v>
      </c>
      <c r="L123" s="181">
        <v>132.59321991927297</v>
      </c>
      <c r="M123" s="181">
        <v>132.59321991927297</v>
      </c>
      <c r="N123" s="181">
        <v>138.38</v>
      </c>
      <c r="O123" s="181">
        <v>132.2966099596365</v>
      </c>
      <c r="P123" s="165">
        <f t="shared" si="39"/>
        <v>104.36431069722131</v>
      </c>
      <c r="Q123" s="165">
        <f t="shared" si="40"/>
        <v>104.1313696662064</v>
      </c>
      <c r="R123" s="165">
        <f t="shared" si="41"/>
        <v>95.603851683506647</v>
      </c>
    </row>
    <row r="124" spans="1:18" ht="15" x14ac:dyDescent="0.2">
      <c r="A124" s="34"/>
      <c r="B124" s="35" t="s">
        <v>105</v>
      </c>
      <c r="C124" s="34" t="s">
        <v>25</v>
      </c>
      <c r="D124" s="36">
        <v>682</v>
      </c>
      <c r="E124" s="148">
        <v>1355</v>
      </c>
      <c r="F124" s="163">
        <f>F123*F122/10</f>
        <v>1374.0160000000001</v>
      </c>
      <c r="G124" s="36">
        <f>G123*G122/10</f>
        <v>1435.9829999999997</v>
      </c>
      <c r="H124" s="163">
        <f>+H123*H122/10</f>
        <v>1579.9199999999998</v>
      </c>
      <c r="I124" s="170">
        <v>2467</v>
      </c>
      <c r="J124" s="187">
        <v>1839.9</v>
      </c>
      <c r="K124" s="188">
        <v>1788.8300000000002</v>
      </c>
      <c r="L124" s="188">
        <v>2162.2418349635577</v>
      </c>
      <c r="M124" s="188">
        <f>M123*M122/10</f>
        <v>1803.2677909021124</v>
      </c>
      <c r="N124" s="188">
        <f>N123*N122/10</f>
        <v>1563.694</v>
      </c>
      <c r="O124" s="188">
        <f>+O123*O122/10</f>
        <v>1322.966099596365</v>
      </c>
      <c r="P124" s="165">
        <f t="shared" si="39"/>
        <v>72.318182671105063</v>
      </c>
      <c r="Q124" s="165">
        <f t="shared" si="40"/>
        <v>87.414343453542259</v>
      </c>
      <c r="R124" s="165">
        <f t="shared" si="41"/>
        <v>84.605178480979333</v>
      </c>
    </row>
    <row r="125" spans="1:18" ht="45" x14ac:dyDescent="0.2">
      <c r="A125" s="34"/>
      <c r="B125" s="35" t="s">
        <v>111</v>
      </c>
      <c r="C125" s="34" t="s">
        <v>20</v>
      </c>
      <c r="D125" s="36">
        <v>694</v>
      </c>
      <c r="E125" s="163">
        <v>785</v>
      </c>
      <c r="F125" s="163">
        <v>736</v>
      </c>
      <c r="G125" s="36">
        <v>913</v>
      </c>
      <c r="H125" s="148">
        <v>1103</v>
      </c>
      <c r="I125" s="185">
        <f>1135-87</f>
        <v>1048</v>
      </c>
      <c r="J125" s="195">
        <v>1009</v>
      </c>
      <c r="K125" s="196">
        <v>1099.3100000000002</v>
      </c>
      <c r="L125" s="196">
        <v>1685.54</v>
      </c>
      <c r="M125" s="196">
        <v>1000</v>
      </c>
      <c r="N125" s="196">
        <v>1118.2</v>
      </c>
      <c r="O125" s="196">
        <v>1300</v>
      </c>
      <c r="P125" s="165">
        <f t="shared" si="39"/>
        <v>66.340757264734151</v>
      </c>
      <c r="Q125" s="165">
        <f t="shared" si="40"/>
        <v>101.71835060174108</v>
      </c>
      <c r="R125" s="165">
        <f t="shared" si="41"/>
        <v>116.25827222321587</v>
      </c>
    </row>
    <row r="126" spans="1:18" ht="15" x14ac:dyDescent="0.2">
      <c r="A126" s="34"/>
      <c r="B126" s="35" t="s">
        <v>112</v>
      </c>
      <c r="C126" s="34"/>
      <c r="D126" s="36">
        <v>7249</v>
      </c>
      <c r="E126" s="163">
        <v>8200</v>
      </c>
      <c r="F126" s="163">
        <v>8696</v>
      </c>
      <c r="G126" s="36">
        <v>10170</v>
      </c>
      <c r="H126" s="148">
        <v>10177</v>
      </c>
      <c r="I126" s="170">
        <v>13634.79</v>
      </c>
      <c r="J126" s="187">
        <v>13345.16</v>
      </c>
      <c r="K126" s="188">
        <v>14116.729999999998</v>
      </c>
      <c r="L126" s="188">
        <v>22272.153333333332</v>
      </c>
      <c r="M126" s="188">
        <f>L126*M125/L125</f>
        <v>13213.660508402845</v>
      </c>
      <c r="N126" s="188">
        <v>15150</v>
      </c>
      <c r="O126" s="188">
        <v>18200</v>
      </c>
      <c r="P126" s="165">
        <f t="shared" si="39"/>
        <v>68.022161006434644</v>
      </c>
      <c r="Q126" s="165">
        <f t="shared" si="40"/>
        <v>107.31947129398949</v>
      </c>
      <c r="R126" s="165">
        <f t="shared" si="41"/>
        <v>120.13201320132015</v>
      </c>
    </row>
    <row r="127" spans="1:18" ht="30" hidden="1" x14ac:dyDescent="0.2">
      <c r="A127" s="31" t="s">
        <v>113</v>
      </c>
      <c r="B127" s="32" t="s">
        <v>114</v>
      </c>
      <c r="C127" s="31" t="s">
        <v>20</v>
      </c>
      <c r="D127" s="36">
        <v>113</v>
      </c>
      <c r="E127" s="36">
        <v>133</v>
      </c>
      <c r="F127" s="145">
        <v>216</v>
      </c>
      <c r="G127" s="33">
        <v>138</v>
      </c>
      <c r="H127" s="148">
        <v>137</v>
      </c>
      <c r="I127" s="197">
        <v>159</v>
      </c>
      <c r="J127" s="198">
        <v>151.77000000000001</v>
      </c>
      <c r="K127" s="199">
        <v>126.3</v>
      </c>
      <c r="L127" s="199">
        <v>162.53333333333333</v>
      </c>
      <c r="M127" s="199">
        <v>65</v>
      </c>
      <c r="N127" s="199">
        <v>162.53333333333333</v>
      </c>
      <c r="O127" s="199">
        <v>198.76666666666665</v>
      </c>
      <c r="P127" s="162">
        <f>IFERROR(N127/L127*100,"")</f>
        <v>100</v>
      </c>
      <c r="Q127" s="162">
        <f>IFERROR(N127/K127*100,"")</f>
        <v>128.68830826075481</v>
      </c>
      <c r="R127" s="162">
        <f t="shared" si="41"/>
        <v>122.29286300246103</v>
      </c>
    </row>
    <row r="128" spans="1:18" ht="15" hidden="1" x14ac:dyDescent="0.2">
      <c r="A128" s="34"/>
      <c r="B128" s="35" t="s">
        <v>85</v>
      </c>
      <c r="C128" s="34" t="s">
        <v>25</v>
      </c>
      <c r="D128" s="36">
        <v>541</v>
      </c>
      <c r="E128" s="36">
        <v>552</v>
      </c>
      <c r="F128" s="148">
        <f>1228+307</f>
        <v>1535</v>
      </c>
      <c r="G128" s="36">
        <v>705</v>
      </c>
      <c r="H128" s="148">
        <v>950</v>
      </c>
      <c r="I128" s="170">
        <v>1250</v>
      </c>
      <c r="J128" s="187">
        <v>1100</v>
      </c>
      <c r="K128" s="188">
        <v>766.86040000000003</v>
      </c>
      <c r="L128" s="188">
        <v>1083.0735999999999</v>
      </c>
      <c r="M128" s="188">
        <f>L128*M127/L127</f>
        <v>433.14059064807219</v>
      </c>
      <c r="N128" s="188">
        <v>1083.0735999999999</v>
      </c>
      <c r="O128" s="188">
        <v>1399.2867999999999</v>
      </c>
      <c r="P128" s="165">
        <f t="shared" si="39"/>
        <v>100</v>
      </c>
      <c r="Q128" s="165">
        <f t="shared" si="40"/>
        <v>141.23478015033766</v>
      </c>
      <c r="R128" s="165">
        <f t="shared" si="41"/>
        <v>129.19591060108934</v>
      </c>
    </row>
    <row r="129" spans="1:18" ht="15" x14ac:dyDescent="0.2">
      <c r="A129" s="31" t="s">
        <v>115</v>
      </c>
      <c r="B129" s="32" t="s">
        <v>116</v>
      </c>
      <c r="C129" s="31" t="s">
        <v>25</v>
      </c>
      <c r="D129" s="151">
        <v>75000</v>
      </c>
      <c r="E129" s="145">
        <v>76000</v>
      </c>
      <c r="F129" s="145">
        <v>156740</v>
      </c>
      <c r="G129" s="33">
        <v>160000</v>
      </c>
      <c r="H129" s="145">
        <v>165000</v>
      </c>
      <c r="I129" s="205">
        <v>167000</v>
      </c>
      <c r="J129" s="206">
        <v>210000</v>
      </c>
      <c r="K129" s="207">
        <v>203452.58060463495</v>
      </c>
      <c r="L129" s="207">
        <v>222301.72040308997</v>
      </c>
      <c r="M129" s="207">
        <v>100000</v>
      </c>
      <c r="N129" s="207">
        <v>222301.72040308997</v>
      </c>
      <c r="O129" s="207">
        <v>231151</v>
      </c>
      <c r="P129" s="165">
        <f t="shared" si="39"/>
        <v>100</v>
      </c>
      <c r="Q129" s="165">
        <f t="shared" si="40"/>
        <v>109.26463539682703</v>
      </c>
      <c r="R129" s="165">
        <f t="shared" si="41"/>
        <v>103.98075173726231</v>
      </c>
    </row>
    <row r="130" spans="1:18" ht="15" x14ac:dyDescent="0.2">
      <c r="A130" s="31" t="s">
        <v>117</v>
      </c>
      <c r="B130" s="32" t="s">
        <v>47</v>
      </c>
      <c r="C130" s="31"/>
      <c r="D130" s="36"/>
      <c r="E130" s="36"/>
      <c r="F130" s="208"/>
      <c r="G130" s="36"/>
      <c r="H130" s="145"/>
      <c r="I130" s="209"/>
      <c r="J130" s="145"/>
      <c r="K130" s="145"/>
      <c r="L130" s="145"/>
      <c r="M130" s="145"/>
      <c r="N130" s="145"/>
      <c r="O130" s="145"/>
      <c r="P130" s="165" t="str">
        <f t="shared" si="39"/>
        <v/>
      </c>
      <c r="Q130" s="165" t="str">
        <f t="shared" si="40"/>
        <v/>
      </c>
      <c r="R130" s="165" t="str">
        <f t="shared" si="41"/>
        <v/>
      </c>
    </row>
    <row r="131" spans="1:18" ht="28.5" x14ac:dyDescent="0.2">
      <c r="A131" s="37" t="s">
        <v>58</v>
      </c>
      <c r="B131" s="38" t="s">
        <v>118</v>
      </c>
      <c r="C131" s="37" t="s">
        <v>119</v>
      </c>
      <c r="D131" s="33">
        <v>6032095</v>
      </c>
      <c r="E131" s="33">
        <v>6275786</v>
      </c>
      <c r="F131" s="154">
        <f>F132+F142+F143*1000</f>
        <v>6445572</v>
      </c>
      <c r="G131" s="154">
        <f>G132+G142+G143*1000</f>
        <v>6509676</v>
      </c>
      <c r="H131" s="154">
        <f>H132+H142+H143*1000</f>
        <v>7578555</v>
      </c>
      <c r="I131" s="210">
        <v>7755055</v>
      </c>
      <c r="J131" s="154">
        <f>J132+J142+J143*1000</f>
        <v>9578487</v>
      </c>
      <c r="K131" s="154">
        <f>K132+K142+K143*1000</f>
        <v>9664917</v>
      </c>
      <c r="L131" s="154">
        <f t="shared" ref="L131:O131" si="48">L132+L142+L143*1000</f>
        <v>10184500</v>
      </c>
      <c r="M131" s="154">
        <f t="shared" si="48"/>
        <v>9780700</v>
      </c>
      <c r="N131" s="154">
        <f t="shared" si="48"/>
        <v>10227300</v>
      </c>
      <c r="O131" s="154">
        <f t="shared" si="48"/>
        <v>11030400</v>
      </c>
      <c r="P131" s="165">
        <f t="shared" si="39"/>
        <v>100.4202464529432</v>
      </c>
      <c r="Q131" s="165">
        <f t="shared" si="40"/>
        <v>105.81880837672999</v>
      </c>
      <c r="R131" s="165">
        <f t="shared" si="41"/>
        <v>107.85251239330029</v>
      </c>
    </row>
    <row r="132" spans="1:18" ht="15" x14ac:dyDescent="0.25">
      <c r="A132" s="31" t="s">
        <v>60</v>
      </c>
      <c r="B132" s="32" t="s">
        <v>120</v>
      </c>
      <c r="C132" s="31" t="s">
        <v>119</v>
      </c>
      <c r="D132" s="33">
        <v>302115</v>
      </c>
      <c r="E132" s="33">
        <v>298259</v>
      </c>
      <c r="F132" s="151">
        <v>281572</v>
      </c>
      <c r="G132" s="145">
        <f>G133+G134+G137</f>
        <v>285016</v>
      </c>
      <c r="H132" s="145">
        <v>300055</v>
      </c>
      <c r="I132" s="211">
        <v>300055</v>
      </c>
      <c r="J132" s="145">
        <f>J133+J134+J137</f>
        <v>328487</v>
      </c>
      <c r="K132" s="145">
        <f>K133+K134+K137</f>
        <v>344917</v>
      </c>
      <c r="L132" s="145">
        <f t="shared" ref="L132:O132" si="49">L133+L134+L137</f>
        <v>364500</v>
      </c>
      <c r="M132" s="145">
        <f t="shared" si="49"/>
        <v>360700</v>
      </c>
      <c r="N132" s="145">
        <f t="shared" si="49"/>
        <v>407300</v>
      </c>
      <c r="O132" s="145">
        <f t="shared" si="49"/>
        <v>510400</v>
      </c>
      <c r="P132" s="162">
        <f t="shared" si="39"/>
        <v>111.74211248285322</v>
      </c>
      <c r="Q132" s="162">
        <f t="shared" si="40"/>
        <v>118.08638020161372</v>
      </c>
      <c r="R132" s="162">
        <f t="shared" si="41"/>
        <v>125.31303707341026</v>
      </c>
    </row>
    <row r="133" spans="1:18" ht="15" x14ac:dyDescent="0.25">
      <c r="A133" s="34"/>
      <c r="B133" s="35" t="s">
        <v>121</v>
      </c>
      <c r="C133" s="34" t="s">
        <v>119</v>
      </c>
      <c r="D133" s="36">
        <v>20417</v>
      </c>
      <c r="E133" s="36">
        <v>16888</v>
      </c>
      <c r="F133" s="163">
        <v>14320</v>
      </c>
      <c r="G133" s="36">
        <v>13558</v>
      </c>
      <c r="H133" s="148">
        <v>10497</v>
      </c>
      <c r="I133" s="212">
        <v>9734</v>
      </c>
      <c r="J133" s="163">
        <v>10000</v>
      </c>
      <c r="K133" s="163">
        <v>9800</v>
      </c>
      <c r="L133" s="163">
        <v>9500</v>
      </c>
      <c r="M133" s="163">
        <v>9700</v>
      </c>
      <c r="N133" s="163">
        <v>9500</v>
      </c>
      <c r="O133" s="163">
        <v>9400</v>
      </c>
      <c r="P133" s="165">
        <f t="shared" si="39"/>
        <v>100</v>
      </c>
      <c r="Q133" s="165">
        <f t="shared" si="40"/>
        <v>96.938775510204081</v>
      </c>
      <c r="R133" s="165">
        <f t="shared" si="41"/>
        <v>98.94736842105263</v>
      </c>
    </row>
    <row r="134" spans="1:18" ht="15" x14ac:dyDescent="0.25">
      <c r="A134" s="34"/>
      <c r="B134" s="35" t="s">
        <v>122</v>
      </c>
      <c r="C134" s="34" t="s">
        <v>119</v>
      </c>
      <c r="D134" s="36">
        <v>86134</v>
      </c>
      <c r="E134" s="36">
        <v>89510</v>
      </c>
      <c r="F134" s="163">
        <v>95413</v>
      </c>
      <c r="G134" s="36">
        <v>94264</v>
      </c>
      <c r="H134" s="148">
        <v>96746</v>
      </c>
      <c r="I134" s="212">
        <v>95365</v>
      </c>
      <c r="J134" s="148">
        <v>100000</v>
      </c>
      <c r="K134" s="148">
        <v>103300</v>
      </c>
      <c r="L134" s="148">
        <v>105000</v>
      </c>
      <c r="M134" s="148">
        <v>101000</v>
      </c>
      <c r="N134" s="148">
        <v>100000</v>
      </c>
      <c r="O134" s="148">
        <v>101000</v>
      </c>
      <c r="P134" s="165">
        <f t="shared" si="39"/>
        <v>95.238095238095227</v>
      </c>
      <c r="Q134" s="165">
        <f t="shared" si="40"/>
        <v>96.805421103581807</v>
      </c>
      <c r="R134" s="165">
        <f t="shared" si="41"/>
        <v>101</v>
      </c>
    </row>
    <row r="135" spans="1:18" ht="15" x14ac:dyDescent="0.25">
      <c r="A135" s="34"/>
      <c r="B135" s="35" t="s">
        <v>123</v>
      </c>
      <c r="C135" s="34" t="s">
        <v>119</v>
      </c>
      <c r="D135" s="36">
        <v>4314</v>
      </c>
      <c r="E135" s="36">
        <v>6619</v>
      </c>
      <c r="F135" s="163">
        <v>10432</v>
      </c>
      <c r="G135" s="36">
        <v>11646</v>
      </c>
      <c r="H135" s="148">
        <v>12745</v>
      </c>
      <c r="I135" s="212">
        <v>13591</v>
      </c>
      <c r="J135" s="163">
        <v>14600</v>
      </c>
      <c r="K135" s="163">
        <v>13305</v>
      </c>
      <c r="L135" s="163">
        <v>13500</v>
      </c>
      <c r="M135" s="163">
        <v>12000</v>
      </c>
      <c r="N135" s="163">
        <v>13000</v>
      </c>
      <c r="O135" s="163">
        <v>13500</v>
      </c>
      <c r="P135" s="165">
        <f t="shared" si="39"/>
        <v>96.296296296296291</v>
      </c>
      <c r="Q135" s="165">
        <f t="shared" si="40"/>
        <v>97.707628711010898</v>
      </c>
      <c r="R135" s="165">
        <f t="shared" si="41"/>
        <v>103.84615384615385</v>
      </c>
    </row>
    <row r="136" spans="1:18" ht="15" x14ac:dyDescent="0.25">
      <c r="A136" s="34"/>
      <c r="B136" s="35" t="s">
        <v>369</v>
      </c>
      <c r="C136" s="34" t="s">
        <v>6</v>
      </c>
      <c r="D136" s="36"/>
      <c r="E136" s="36"/>
      <c r="F136" s="163"/>
      <c r="G136" s="36"/>
      <c r="H136" s="148"/>
      <c r="I136" s="212"/>
      <c r="J136" s="163"/>
      <c r="K136" s="163">
        <v>89</v>
      </c>
      <c r="L136" s="163">
        <v>90</v>
      </c>
      <c r="M136" s="163">
        <v>89</v>
      </c>
      <c r="N136" s="163">
        <v>90</v>
      </c>
      <c r="O136" s="163">
        <v>90</v>
      </c>
      <c r="P136" s="165">
        <f t="shared" si="39"/>
        <v>100</v>
      </c>
      <c r="Q136" s="165">
        <f t="shared" si="40"/>
        <v>101.12359550561798</v>
      </c>
      <c r="R136" s="165">
        <f t="shared" si="41"/>
        <v>100</v>
      </c>
    </row>
    <row r="137" spans="1:18" ht="15" x14ac:dyDescent="0.25">
      <c r="A137" s="34"/>
      <c r="B137" s="35" t="s">
        <v>124</v>
      </c>
      <c r="C137" s="34" t="s">
        <v>119</v>
      </c>
      <c r="D137" s="36">
        <v>195564</v>
      </c>
      <c r="E137" s="36">
        <v>191861</v>
      </c>
      <c r="F137" s="163">
        <f>F138+F139+F140</f>
        <v>171828</v>
      </c>
      <c r="G137" s="148">
        <f>G138+G139+G140</f>
        <v>177194</v>
      </c>
      <c r="H137" s="148">
        <f>H138+H139+H140</f>
        <v>187649.61013938545</v>
      </c>
      <c r="I137" s="212">
        <v>160727</v>
      </c>
      <c r="J137" s="148">
        <f>J138+J139+J140</f>
        <v>218487</v>
      </c>
      <c r="K137" s="148">
        <v>231817</v>
      </c>
      <c r="L137" s="148">
        <v>250000</v>
      </c>
      <c r="M137" s="148">
        <v>250000</v>
      </c>
      <c r="N137" s="148">
        <v>297800</v>
      </c>
      <c r="O137" s="148">
        <v>400000</v>
      </c>
      <c r="P137" s="165">
        <f t="shared" si="39"/>
        <v>119.12</v>
      </c>
      <c r="Q137" s="165">
        <f t="shared" si="40"/>
        <v>128.46340000949024</v>
      </c>
      <c r="R137" s="165">
        <f t="shared" si="41"/>
        <v>134.31833445265278</v>
      </c>
    </row>
    <row r="138" spans="1:18" ht="15" x14ac:dyDescent="0.25">
      <c r="A138" s="34"/>
      <c r="B138" s="35" t="s">
        <v>125</v>
      </c>
      <c r="C138" s="34" t="s">
        <v>119</v>
      </c>
      <c r="D138" s="36">
        <v>23549</v>
      </c>
      <c r="E138" s="36">
        <v>20629</v>
      </c>
      <c r="F138" s="163">
        <v>16638</v>
      </c>
      <c r="G138" s="36">
        <v>18250</v>
      </c>
      <c r="H138" s="36">
        <v>15250</v>
      </c>
      <c r="I138" s="212">
        <v>10028</v>
      </c>
      <c r="J138" s="36">
        <v>14770</v>
      </c>
      <c r="K138" s="36">
        <v>13000</v>
      </c>
      <c r="L138" s="36">
        <v>20000</v>
      </c>
      <c r="M138" s="36">
        <v>28000</v>
      </c>
      <c r="N138" s="36">
        <v>46307</v>
      </c>
      <c r="O138" s="36">
        <v>45000</v>
      </c>
      <c r="P138" s="165">
        <f t="shared" si="39"/>
        <v>231.535</v>
      </c>
      <c r="Q138" s="165">
        <f t="shared" si="40"/>
        <v>356.2076923076923</v>
      </c>
      <c r="R138" s="165">
        <f t="shared" si="41"/>
        <v>97.177532554473402</v>
      </c>
    </row>
    <row r="139" spans="1:18" ht="15" x14ac:dyDescent="0.25">
      <c r="A139" s="34"/>
      <c r="B139" s="35" t="s">
        <v>126</v>
      </c>
      <c r="C139" s="34" t="s">
        <v>119</v>
      </c>
      <c r="D139" s="36">
        <v>171803</v>
      </c>
      <c r="E139" s="36">
        <v>171021</v>
      </c>
      <c r="F139" s="163">
        <v>154983</v>
      </c>
      <c r="G139" s="36">
        <v>158766</v>
      </c>
      <c r="H139" s="36">
        <v>172182</v>
      </c>
      <c r="I139" s="212">
        <v>150525</v>
      </c>
      <c r="J139" s="36">
        <v>203595</v>
      </c>
      <c r="K139" s="36">
        <v>218623</v>
      </c>
      <c r="L139" s="36">
        <v>229750</v>
      </c>
      <c r="M139" s="36">
        <v>221800</v>
      </c>
      <c r="N139" s="36">
        <v>251211</v>
      </c>
      <c r="O139" s="36">
        <v>354700</v>
      </c>
      <c r="P139" s="165">
        <f t="shared" si="39"/>
        <v>109.34102285092493</v>
      </c>
      <c r="Q139" s="165">
        <f t="shared" si="40"/>
        <v>114.90602544105606</v>
      </c>
      <c r="R139" s="165">
        <f t="shared" si="41"/>
        <v>141.19604635147346</v>
      </c>
    </row>
    <row r="140" spans="1:18" ht="15" x14ac:dyDescent="0.25">
      <c r="A140" s="34"/>
      <c r="B140" s="35" t="s">
        <v>127</v>
      </c>
      <c r="C140" s="34" t="s">
        <v>119</v>
      </c>
      <c r="D140" s="36">
        <v>212</v>
      </c>
      <c r="E140" s="36">
        <v>211</v>
      </c>
      <c r="F140" s="163">
        <v>207</v>
      </c>
      <c r="G140" s="36">
        <v>178</v>
      </c>
      <c r="H140" s="36">
        <v>217.61013938543692</v>
      </c>
      <c r="I140" s="212">
        <v>174</v>
      </c>
      <c r="J140" s="36">
        <v>122</v>
      </c>
      <c r="K140" s="36">
        <v>194</v>
      </c>
      <c r="L140" s="36">
        <v>250</v>
      </c>
      <c r="M140" s="36">
        <v>200</v>
      </c>
      <c r="N140" s="36">
        <v>282</v>
      </c>
      <c r="O140" s="36">
        <v>300</v>
      </c>
      <c r="P140" s="165">
        <f t="shared" si="39"/>
        <v>112.79999999999998</v>
      </c>
      <c r="Q140" s="165">
        <f t="shared" si="40"/>
        <v>145.36082474226802</v>
      </c>
      <c r="R140" s="165">
        <f t="shared" si="41"/>
        <v>106.38297872340425</v>
      </c>
    </row>
    <row r="141" spans="1:18" ht="30" x14ac:dyDescent="0.25">
      <c r="A141" s="34"/>
      <c r="B141" s="35" t="s">
        <v>370</v>
      </c>
      <c r="C141" s="34" t="s">
        <v>6</v>
      </c>
      <c r="D141" s="36"/>
      <c r="E141" s="36"/>
      <c r="F141" s="163"/>
      <c r="G141" s="36"/>
      <c r="H141" s="36"/>
      <c r="I141" s="212"/>
      <c r="J141" s="36"/>
      <c r="K141" s="36">
        <v>88</v>
      </c>
      <c r="L141" s="36">
        <v>88</v>
      </c>
      <c r="M141" s="36">
        <v>88</v>
      </c>
      <c r="N141" s="36">
        <v>88</v>
      </c>
      <c r="O141" s="36">
        <v>88</v>
      </c>
      <c r="P141" s="165">
        <f t="shared" si="39"/>
        <v>100</v>
      </c>
      <c r="Q141" s="165">
        <f t="shared" si="40"/>
        <v>100</v>
      </c>
      <c r="R141" s="165">
        <f t="shared" si="41"/>
        <v>100</v>
      </c>
    </row>
    <row r="142" spans="1:18" ht="15" x14ac:dyDescent="0.25">
      <c r="A142" s="31" t="s">
        <v>68</v>
      </c>
      <c r="B142" s="32" t="s">
        <v>128</v>
      </c>
      <c r="C142" s="31" t="s">
        <v>119</v>
      </c>
      <c r="D142" s="33">
        <v>270778</v>
      </c>
      <c r="E142" s="33">
        <v>243527</v>
      </c>
      <c r="F142" s="151">
        <v>260000</v>
      </c>
      <c r="G142" s="33">
        <v>250660</v>
      </c>
      <c r="H142" s="33">
        <v>268500</v>
      </c>
      <c r="I142" s="211">
        <v>305000</v>
      </c>
      <c r="J142" s="33">
        <v>315000</v>
      </c>
      <c r="K142" s="33">
        <v>320000</v>
      </c>
      <c r="L142" s="33">
        <v>320000</v>
      </c>
      <c r="M142" s="33">
        <v>320000</v>
      </c>
      <c r="N142" s="33">
        <v>320000</v>
      </c>
      <c r="O142" s="33">
        <v>320000</v>
      </c>
      <c r="P142" s="162">
        <f t="shared" si="39"/>
        <v>100</v>
      </c>
      <c r="Q142" s="162">
        <f t="shared" ref="Q142:Q146" si="50">IFERROR(N142/K142*100,"")</f>
        <v>100</v>
      </c>
      <c r="R142" s="162">
        <f t="shared" ref="R142:R145" si="51">IFERROR(O142/N142*100,"")</f>
        <v>100</v>
      </c>
    </row>
    <row r="143" spans="1:18" s="135" customFormat="1" ht="30" x14ac:dyDescent="0.2">
      <c r="A143" s="213" t="s">
        <v>75</v>
      </c>
      <c r="B143" s="214" t="s">
        <v>129</v>
      </c>
      <c r="C143" s="213" t="s">
        <v>130</v>
      </c>
      <c r="D143" s="215">
        <v>5457</v>
      </c>
      <c r="E143" s="215">
        <v>5734</v>
      </c>
      <c r="F143" s="216">
        <v>5904</v>
      </c>
      <c r="G143" s="215">
        <v>5974</v>
      </c>
      <c r="H143" s="215">
        <v>7010</v>
      </c>
      <c r="I143" s="217">
        <v>9034</v>
      </c>
      <c r="J143" s="215">
        <v>8935</v>
      </c>
      <c r="K143" s="215">
        <v>9000</v>
      </c>
      <c r="L143" s="215">
        <v>9500</v>
      </c>
      <c r="M143" s="215">
        <v>9100</v>
      </c>
      <c r="N143" s="33">
        <v>9500</v>
      </c>
      <c r="O143" s="215">
        <v>10200</v>
      </c>
      <c r="P143" s="162">
        <f t="shared" si="39"/>
        <v>100</v>
      </c>
      <c r="Q143" s="162">
        <f t="shared" si="50"/>
        <v>105.55555555555556</v>
      </c>
      <c r="R143" s="162">
        <f t="shared" si="51"/>
        <v>107.36842105263158</v>
      </c>
    </row>
    <row r="144" spans="1:18" s="135" customFormat="1" ht="17.649999999999999" customHeight="1" x14ac:dyDescent="0.2">
      <c r="A144" s="213"/>
      <c r="B144" s="218" t="s">
        <v>368</v>
      </c>
      <c r="C144" s="219" t="s">
        <v>130</v>
      </c>
      <c r="D144" s="215"/>
      <c r="E144" s="215"/>
      <c r="F144" s="216"/>
      <c r="G144" s="215"/>
      <c r="H144" s="215"/>
      <c r="I144" s="217"/>
      <c r="J144" s="215"/>
      <c r="K144" s="220">
        <v>8572</v>
      </c>
      <c r="L144" s="220">
        <v>8800</v>
      </c>
      <c r="M144" s="220">
        <v>8800</v>
      </c>
      <c r="N144" s="36">
        <v>8800</v>
      </c>
      <c r="O144" s="220">
        <v>9400</v>
      </c>
      <c r="P144" s="165">
        <f t="shared" si="39"/>
        <v>100</v>
      </c>
      <c r="Q144" s="165">
        <f t="shared" si="50"/>
        <v>102.6598226784881</v>
      </c>
      <c r="R144" s="165">
        <f t="shared" si="51"/>
        <v>106.81818181818181</v>
      </c>
    </row>
    <row r="145" spans="1:19" s="135" customFormat="1" ht="18.399999999999999" customHeight="1" x14ac:dyDescent="0.2">
      <c r="A145" s="213"/>
      <c r="B145" s="218" t="s">
        <v>371</v>
      </c>
      <c r="C145" s="219" t="s">
        <v>130</v>
      </c>
      <c r="D145" s="215"/>
      <c r="E145" s="215"/>
      <c r="F145" s="216"/>
      <c r="G145" s="215"/>
      <c r="H145" s="215"/>
      <c r="I145" s="217"/>
      <c r="J145" s="215"/>
      <c r="K145" s="220">
        <v>15500</v>
      </c>
      <c r="L145" s="220">
        <v>16340</v>
      </c>
      <c r="M145" s="220">
        <v>8170</v>
      </c>
      <c r="N145" s="36">
        <v>16340</v>
      </c>
      <c r="O145" s="220">
        <v>17500</v>
      </c>
      <c r="P145" s="165">
        <f t="shared" si="39"/>
        <v>100</v>
      </c>
      <c r="Q145" s="165">
        <f t="shared" si="50"/>
        <v>105.41935483870968</v>
      </c>
      <c r="R145" s="165">
        <f t="shared" si="51"/>
        <v>107.09914320685434</v>
      </c>
    </row>
    <row r="146" spans="1:19" ht="15" x14ac:dyDescent="0.25">
      <c r="A146" s="37" t="s">
        <v>90</v>
      </c>
      <c r="B146" s="38" t="s">
        <v>131</v>
      </c>
      <c r="C146" s="37"/>
      <c r="D146" s="36"/>
      <c r="E146" s="36"/>
      <c r="F146" s="163"/>
      <c r="G146" s="33"/>
      <c r="H146" s="36"/>
      <c r="I146" s="211"/>
      <c r="J146" s="36"/>
      <c r="K146" s="36"/>
      <c r="L146" s="36"/>
      <c r="M146" s="36"/>
      <c r="N146" s="36"/>
      <c r="O146" s="36"/>
      <c r="P146" s="165" t="str">
        <f t="shared" ref="P146:P157" si="52">IFERROR(N146/L146*100,"")</f>
        <v/>
      </c>
      <c r="Q146" s="165" t="str">
        <f t="shared" si="50"/>
        <v/>
      </c>
      <c r="R146" s="165" t="str">
        <f t="shared" ref="R146:R157" si="53">IFERROR(O146/N146*100,"")</f>
        <v/>
      </c>
    </row>
    <row r="147" spans="1:19" ht="15" x14ac:dyDescent="0.25">
      <c r="A147" s="31" t="s">
        <v>92</v>
      </c>
      <c r="B147" s="32" t="s">
        <v>132</v>
      </c>
      <c r="C147" s="31" t="s">
        <v>25</v>
      </c>
      <c r="D147" s="33">
        <v>146777</v>
      </c>
      <c r="E147" s="33">
        <v>153456</v>
      </c>
      <c r="F147" s="33">
        <f>F148+F149+F150+F151+F152+F153</f>
        <v>160407</v>
      </c>
      <c r="G147" s="33">
        <f>G148+G149+G150+G151+G152+G153</f>
        <v>165290</v>
      </c>
      <c r="H147" s="33">
        <f>H148+H149+H150+H151+H152+H153</f>
        <v>176693</v>
      </c>
      <c r="I147" s="211">
        <f>SUM(I148:I153)</f>
        <v>181767</v>
      </c>
      <c r="J147" s="33">
        <f>SUM(J148:J153)</f>
        <v>188530</v>
      </c>
      <c r="K147" s="33">
        <f>K148+K149+K150+K151+K152</f>
        <v>106297</v>
      </c>
      <c r="L147" s="33">
        <f>L148+L149+L150+L151+L152</f>
        <v>118240</v>
      </c>
      <c r="M147" s="33">
        <f t="shared" ref="M147:O147" si="54">M148+M149+M150+M151+M152</f>
        <v>59120</v>
      </c>
      <c r="N147" s="33">
        <f t="shared" si="54"/>
        <v>117430</v>
      </c>
      <c r="O147" s="33">
        <f t="shared" si="54"/>
        <v>149680</v>
      </c>
      <c r="P147" s="165">
        <f t="shared" si="52"/>
        <v>99.314952638700944</v>
      </c>
      <c r="Q147" s="165">
        <f>IFERROR(N147/K147*100,"")</f>
        <v>110.47348467031055</v>
      </c>
      <c r="R147" s="165">
        <f t="shared" si="53"/>
        <v>127.46316954781571</v>
      </c>
    </row>
    <row r="148" spans="1:19" ht="15" x14ac:dyDescent="0.25">
      <c r="A148" s="34"/>
      <c r="B148" s="35" t="s">
        <v>133</v>
      </c>
      <c r="C148" s="34" t="s">
        <v>25</v>
      </c>
      <c r="D148" s="36">
        <v>41710</v>
      </c>
      <c r="E148" s="36">
        <v>46150</v>
      </c>
      <c r="F148" s="163">
        <v>40880</v>
      </c>
      <c r="G148" s="36">
        <v>39112</v>
      </c>
      <c r="H148" s="36">
        <v>42649</v>
      </c>
      <c r="I148" s="212">
        <v>41066</v>
      </c>
      <c r="J148" s="36">
        <v>42300</v>
      </c>
      <c r="K148" s="36">
        <v>48097</v>
      </c>
      <c r="L148" s="36">
        <v>51000</v>
      </c>
      <c r="M148" s="36">
        <v>26000</v>
      </c>
      <c r="N148" s="36">
        <v>51000</v>
      </c>
      <c r="O148" s="36">
        <v>78000</v>
      </c>
      <c r="P148" s="165">
        <f t="shared" si="52"/>
        <v>100</v>
      </c>
      <c r="Q148" s="165">
        <f t="shared" ref="Q148:Q157" si="55">IFERROR(N148/K148*100,"")</f>
        <v>106.03571948354367</v>
      </c>
      <c r="R148" s="165">
        <f t="shared" si="53"/>
        <v>152.94117647058823</v>
      </c>
    </row>
    <row r="149" spans="1:19" ht="15" x14ac:dyDescent="0.25">
      <c r="A149" s="34"/>
      <c r="B149" s="35" t="s">
        <v>134</v>
      </c>
      <c r="C149" s="34" t="s">
        <v>25</v>
      </c>
      <c r="D149" s="36">
        <v>2316</v>
      </c>
      <c r="E149" s="36">
        <v>2361</v>
      </c>
      <c r="F149" s="163">
        <v>2194</v>
      </c>
      <c r="G149" s="36">
        <v>1663</v>
      </c>
      <c r="H149" s="36">
        <v>1430</v>
      </c>
      <c r="I149" s="212">
        <v>294</v>
      </c>
      <c r="J149" s="36">
        <v>900</v>
      </c>
      <c r="K149" s="36">
        <v>700</v>
      </c>
      <c r="L149" s="36">
        <v>690</v>
      </c>
      <c r="M149" s="36">
        <v>320</v>
      </c>
      <c r="N149" s="36">
        <v>690</v>
      </c>
      <c r="O149" s="36">
        <v>670</v>
      </c>
      <c r="P149" s="165">
        <f t="shared" si="52"/>
        <v>100</v>
      </c>
      <c r="Q149" s="165">
        <f t="shared" si="55"/>
        <v>98.571428571428584</v>
      </c>
      <c r="R149" s="165">
        <f t="shared" si="53"/>
        <v>97.101449275362313</v>
      </c>
    </row>
    <row r="150" spans="1:19" ht="15" x14ac:dyDescent="0.25">
      <c r="A150" s="34"/>
      <c r="B150" s="35" t="s">
        <v>135</v>
      </c>
      <c r="C150" s="34" t="s">
        <v>25</v>
      </c>
      <c r="D150" s="36">
        <v>6781</v>
      </c>
      <c r="E150" s="36">
        <v>6703</v>
      </c>
      <c r="F150" s="163">
        <v>6801</v>
      </c>
      <c r="G150" s="36">
        <v>6336</v>
      </c>
      <c r="H150" s="36">
        <v>7000</v>
      </c>
      <c r="I150" s="212">
        <v>2825</v>
      </c>
      <c r="J150" s="36">
        <v>7500</v>
      </c>
      <c r="K150" s="36">
        <v>7550</v>
      </c>
      <c r="L150" s="36">
        <v>7600</v>
      </c>
      <c r="M150" s="36">
        <v>3700</v>
      </c>
      <c r="N150" s="36">
        <v>6790</v>
      </c>
      <c r="O150" s="36">
        <v>7600</v>
      </c>
      <c r="P150" s="165">
        <f t="shared" si="52"/>
        <v>89.34210526315789</v>
      </c>
      <c r="Q150" s="165">
        <f t="shared" si="55"/>
        <v>89.933774834437088</v>
      </c>
      <c r="R150" s="165">
        <f t="shared" si="53"/>
        <v>111.92930780559647</v>
      </c>
      <c r="S150" s="136"/>
    </row>
    <row r="151" spans="1:19" ht="15" x14ac:dyDescent="0.25">
      <c r="A151" s="34"/>
      <c r="B151" s="35" t="s">
        <v>136</v>
      </c>
      <c r="C151" s="34" t="s">
        <v>25</v>
      </c>
      <c r="D151" s="36">
        <v>976</v>
      </c>
      <c r="E151" s="36">
        <v>1022</v>
      </c>
      <c r="F151" s="163">
        <v>1100</v>
      </c>
      <c r="G151" s="36">
        <v>825</v>
      </c>
      <c r="H151" s="36">
        <v>850</v>
      </c>
      <c r="I151" s="212">
        <v>807</v>
      </c>
      <c r="J151" s="36">
        <v>930</v>
      </c>
      <c r="K151" s="36">
        <v>950</v>
      </c>
      <c r="L151" s="36">
        <v>950</v>
      </c>
      <c r="M151" s="36">
        <v>450</v>
      </c>
      <c r="N151" s="36">
        <v>950</v>
      </c>
      <c r="O151" s="36">
        <v>950</v>
      </c>
      <c r="P151" s="165">
        <f t="shared" si="52"/>
        <v>100</v>
      </c>
      <c r="Q151" s="165">
        <f t="shared" si="55"/>
        <v>100</v>
      </c>
      <c r="R151" s="165">
        <f t="shared" si="53"/>
        <v>100</v>
      </c>
    </row>
    <row r="152" spans="1:19" s="135" customFormat="1" ht="15" x14ac:dyDescent="0.2">
      <c r="A152" s="219"/>
      <c r="B152" s="218" t="s">
        <v>137</v>
      </c>
      <c r="C152" s="219" t="s">
        <v>25</v>
      </c>
      <c r="D152" s="220">
        <v>23281</v>
      </c>
      <c r="E152" s="220">
        <v>25720</v>
      </c>
      <c r="F152" s="221">
        <v>26997</v>
      </c>
      <c r="G152" s="220">
        <v>29144</v>
      </c>
      <c r="H152" s="220">
        <v>34664</v>
      </c>
      <c r="I152" s="222">
        <v>38448</v>
      </c>
      <c r="J152" s="220">
        <v>39900</v>
      </c>
      <c r="K152" s="220">
        <v>49000</v>
      </c>
      <c r="L152" s="220">
        <v>58000</v>
      </c>
      <c r="M152" s="220">
        <v>28650</v>
      </c>
      <c r="N152" s="36">
        <v>58000</v>
      </c>
      <c r="O152" s="220">
        <v>62460</v>
      </c>
      <c r="P152" s="165">
        <f t="shared" si="52"/>
        <v>100</v>
      </c>
      <c r="Q152" s="165">
        <f t="shared" si="55"/>
        <v>118.36734693877551</v>
      </c>
      <c r="R152" s="165">
        <f t="shared" si="53"/>
        <v>107.68965517241381</v>
      </c>
    </row>
    <row r="153" spans="1:19" ht="30" x14ac:dyDescent="0.2">
      <c r="A153" s="34"/>
      <c r="B153" s="35" t="s">
        <v>138</v>
      </c>
      <c r="C153" s="34" t="s">
        <v>25</v>
      </c>
      <c r="D153" s="36">
        <v>71713</v>
      </c>
      <c r="E153" s="36">
        <v>71500</v>
      </c>
      <c r="F153" s="163">
        <v>82435</v>
      </c>
      <c r="G153" s="36">
        <v>88210</v>
      </c>
      <c r="H153" s="36">
        <v>90100</v>
      </c>
      <c r="I153" s="223">
        <v>98327</v>
      </c>
      <c r="J153" s="36">
        <v>97000</v>
      </c>
      <c r="K153" s="36">
        <v>100000</v>
      </c>
      <c r="L153" s="36">
        <v>100000</v>
      </c>
      <c r="M153" s="36">
        <v>55000</v>
      </c>
      <c r="N153" s="36">
        <v>100000</v>
      </c>
      <c r="O153" s="36">
        <v>100000</v>
      </c>
      <c r="P153" s="165">
        <f t="shared" si="52"/>
        <v>100</v>
      </c>
      <c r="Q153" s="165">
        <f t="shared" si="55"/>
        <v>100</v>
      </c>
      <c r="R153" s="165">
        <f t="shared" si="53"/>
        <v>100</v>
      </c>
    </row>
    <row r="154" spans="1:19" ht="15" x14ac:dyDescent="0.25">
      <c r="A154" s="31" t="s">
        <v>96</v>
      </c>
      <c r="B154" s="32" t="s">
        <v>139</v>
      </c>
      <c r="C154" s="31" t="s">
        <v>25</v>
      </c>
      <c r="D154" s="33">
        <v>15170</v>
      </c>
      <c r="E154" s="33">
        <v>16141</v>
      </c>
      <c r="F154" s="151">
        <v>22732</v>
      </c>
      <c r="G154" s="36">
        <v>34248</v>
      </c>
      <c r="H154" s="33">
        <v>41709</v>
      </c>
      <c r="I154" s="224">
        <v>40178</v>
      </c>
      <c r="J154" s="33">
        <v>58600</v>
      </c>
      <c r="K154" s="33">
        <v>51000</v>
      </c>
      <c r="L154" s="33">
        <v>55000</v>
      </c>
      <c r="M154" s="33">
        <v>27500</v>
      </c>
      <c r="N154" s="33">
        <v>49800</v>
      </c>
      <c r="O154" s="33">
        <v>55000</v>
      </c>
      <c r="P154" s="162">
        <f t="shared" si="52"/>
        <v>90.545454545454547</v>
      </c>
      <c r="Q154" s="162">
        <f t="shared" si="55"/>
        <v>97.647058823529406</v>
      </c>
      <c r="R154" s="162">
        <f t="shared" si="53"/>
        <v>110.44176706827309</v>
      </c>
    </row>
    <row r="155" spans="1:19" ht="30" x14ac:dyDescent="0.2">
      <c r="A155" s="31" t="s">
        <v>113</v>
      </c>
      <c r="B155" s="32" t="s">
        <v>140</v>
      </c>
      <c r="C155" s="31" t="s">
        <v>141</v>
      </c>
      <c r="D155" s="33">
        <v>283459</v>
      </c>
      <c r="E155" s="33">
        <v>281138</v>
      </c>
      <c r="F155" s="151">
        <v>318172</v>
      </c>
      <c r="G155" s="33">
        <v>374185</v>
      </c>
      <c r="H155" s="33">
        <v>427127</v>
      </c>
      <c r="I155" s="225">
        <v>557983</v>
      </c>
      <c r="J155" s="33">
        <v>600000</v>
      </c>
      <c r="K155" s="33">
        <v>650000</v>
      </c>
      <c r="L155" s="33">
        <v>780000</v>
      </c>
      <c r="M155" s="33">
        <v>390000</v>
      </c>
      <c r="N155" s="33">
        <v>780000</v>
      </c>
      <c r="O155" s="33">
        <v>900000</v>
      </c>
      <c r="P155" s="162">
        <f t="shared" si="52"/>
        <v>100</v>
      </c>
      <c r="Q155" s="162">
        <f t="shared" si="55"/>
        <v>120</v>
      </c>
      <c r="R155" s="162">
        <f t="shared" si="53"/>
        <v>115.38461538461537</v>
      </c>
    </row>
    <row r="156" spans="1:19" ht="15" x14ac:dyDescent="0.2">
      <c r="A156" s="31" t="s">
        <v>194</v>
      </c>
      <c r="B156" s="32" t="s">
        <v>372</v>
      </c>
      <c r="C156" s="31" t="s">
        <v>25</v>
      </c>
      <c r="D156" s="33"/>
      <c r="E156" s="33"/>
      <c r="F156" s="151"/>
      <c r="G156" s="33"/>
      <c r="H156" s="33"/>
      <c r="I156" s="225"/>
      <c r="J156" s="33"/>
      <c r="K156" s="146">
        <v>1.45</v>
      </c>
      <c r="L156" s="146">
        <v>1.88</v>
      </c>
      <c r="M156" s="146">
        <v>0.87</v>
      </c>
      <c r="N156" s="146">
        <v>1.74</v>
      </c>
      <c r="O156" s="146">
        <v>1.7</v>
      </c>
      <c r="P156" s="162">
        <f t="shared" si="52"/>
        <v>92.553191489361708</v>
      </c>
      <c r="Q156" s="162">
        <f t="shared" si="55"/>
        <v>120</v>
      </c>
      <c r="R156" s="162">
        <f t="shared" si="53"/>
        <v>97.701149425287355</v>
      </c>
    </row>
    <row r="157" spans="1:19" ht="15" x14ac:dyDescent="0.2">
      <c r="A157" s="31" t="s">
        <v>373</v>
      </c>
      <c r="B157" s="32" t="s">
        <v>374</v>
      </c>
      <c r="C157" s="31" t="s">
        <v>25</v>
      </c>
      <c r="D157" s="33"/>
      <c r="E157" s="33"/>
      <c r="F157" s="151"/>
      <c r="G157" s="33"/>
      <c r="H157" s="33"/>
      <c r="I157" s="225"/>
      <c r="J157" s="33"/>
      <c r="K157" s="146">
        <v>4.57</v>
      </c>
      <c r="L157" s="146">
        <v>4.57</v>
      </c>
      <c r="M157" s="146">
        <v>1.97</v>
      </c>
      <c r="N157" s="146">
        <v>12.9</v>
      </c>
      <c r="O157" s="146">
        <v>13.5</v>
      </c>
      <c r="P157" s="162">
        <f t="shared" si="52"/>
        <v>282.2757111597374</v>
      </c>
      <c r="Q157" s="162">
        <f t="shared" si="55"/>
        <v>282.2757111597374</v>
      </c>
      <c r="R157" s="162">
        <f t="shared" si="53"/>
        <v>104.65116279069765</v>
      </c>
    </row>
    <row r="158" spans="1:19" ht="15" x14ac:dyDescent="0.2">
      <c r="A158" s="37">
        <v>2</v>
      </c>
      <c r="B158" s="38" t="s">
        <v>49</v>
      </c>
      <c r="C158" s="37"/>
      <c r="D158" s="36"/>
      <c r="E158" s="36"/>
      <c r="F158" s="154"/>
      <c r="G158" s="33"/>
      <c r="H158" s="36"/>
      <c r="I158" s="36"/>
      <c r="J158" s="36"/>
      <c r="K158" s="36"/>
      <c r="L158" s="36"/>
      <c r="M158" s="36"/>
      <c r="N158" s="36"/>
      <c r="O158" s="36"/>
      <c r="P158" s="149" t="str">
        <f t="shared" ref="P158:P170" si="56">IFERROR(N158/L158*100,"")</f>
        <v/>
      </c>
      <c r="Q158" s="149" t="str">
        <f t="shared" ref="Q158:Q170" si="57">IFERROR(N158/K158*100,"")</f>
        <v/>
      </c>
      <c r="R158" s="149" t="str">
        <f t="shared" ref="R158:R170" si="58">IFERROR(O158/N158*100,"")</f>
        <v/>
      </c>
    </row>
    <row r="159" spans="1:19" ht="15" x14ac:dyDescent="0.2">
      <c r="A159" s="31" t="s">
        <v>142</v>
      </c>
      <c r="B159" s="32" t="s">
        <v>143</v>
      </c>
      <c r="C159" s="31"/>
      <c r="D159" s="36"/>
      <c r="E159" s="36"/>
      <c r="F159" s="145"/>
      <c r="G159" s="33"/>
      <c r="H159" s="36"/>
      <c r="I159" s="36"/>
      <c r="J159" s="36"/>
      <c r="K159" s="36"/>
      <c r="L159" s="36"/>
      <c r="M159" s="36"/>
      <c r="N159" s="36"/>
      <c r="O159" s="36"/>
      <c r="P159" s="149" t="str">
        <f t="shared" si="56"/>
        <v/>
      </c>
      <c r="Q159" s="149" t="str">
        <f t="shared" si="57"/>
        <v/>
      </c>
      <c r="R159" s="149" t="str">
        <f t="shared" si="58"/>
        <v/>
      </c>
    </row>
    <row r="160" spans="1:19" ht="15" x14ac:dyDescent="0.2">
      <c r="A160" s="31" t="s">
        <v>58</v>
      </c>
      <c r="B160" s="32" t="s">
        <v>144</v>
      </c>
      <c r="C160" s="31" t="s">
        <v>20</v>
      </c>
      <c r="D160" s="33">
        <v>50700</v>
      </c>
      <c r="E160" s="33">
        <v>51733</v>
      </c>
      <c r="F160" s="151">
        <v>56793</v>
      </c>
      <c r="G160" s="33">
        <v>57753</v>
      </c>
      <c r="H160" s="145">
        <v>58008</v>
      </c>
      <c r="I160" s="145">
        <v>58122</v>
      </c>
      <c r="J160" s="145">
        <v>58171</v>
      </c>
      <c r="K160" s="145">
        <v>58330</v>
      </c>
      <c r="L160" s="145">
        <v>66569.09</v>
      </c>
      <c r="M160" s="145">
        <v>66569.09</v>
      </c>
      <c r="N160" s="145">
        <v>66569.09</v>
      </c>
      <c r="O160" s="145">
        <v>66750</v>
      </c>
      <c r="P160" s="226">
        <f t="shared" si="56"/>
        <v>100</v>
      </c>
      <c r="Q160" s="226">
        <f t="shared" si="57"/>
        <v>114.12496142636721</v>
      </c>
      <c r="R160" s="226">
        <f t="shared" si="58"/>
        <v>100.27176276557184</v>
      </c>
    </row>
    <row r="161" spans="1:18" ht="15" x14ac:dyDescent="0.2">
      <c r="A161" s="31" t="s">
        <v>90</v>
      </c>
      <c r="B161" s="32" t="s">
        <v>145</v>
      </c>
      <c r="C161" s="31" t="s">
        <v>20</v>
      </c>
      <c r="D161" s="33">
        <v>6800</v>
      </c>
      <c r="E161" s="33">
        <v>6235</v>
      </c>
      <c r="F161" s="151">
        <v>1397</v>
      </c>
      <c r="G161" s="33">
        <v>1347</v>
      </c>
      <c r="H161" s="145">
        <v>1198</v>
      </c>
      <c r="I161" s="145">
        <v>1197</v>
      </c>
      <c r="J161" s="145">
        <v>1198</v>
      </c>
      <c r="K161" s="145">
        <v>1198</v>
      </c>
      <c r="L161" s="145">
        <v>250</v>
      </c>
      <c r="M161" s="145"/>
      <c r="N161" s="145">
        <v>250</v>
      </c>
      <c r="O161" s="145">
        <v>250</v>
      </c>
      <c r="P161" s="226">
        <f t="shared" si="56"/>
        <v>100</v>
      </c>
      <c r="Q161" s="226">
        <f t="shared" si="57"/>
        <v>20.868113522537563</v>
      </c>
      <c r="R161" s="226">
        <f t="shared" si="58"/>
        <v>100</v>
      </c>
    </row>
    <row r="162" spans="1:18" ht="15" x14ac:dyDescent="0.2">
      <c r="A162" s="31" t="s">
        <v>146</v>
      </c>
      <c r="B162" s="32" t="s">
        <v>147</v>
      </c>
      <c r="C162" s="31" t="s">
        <v>20</v>
      </c>
      <c r="D162" s="33">
        <v>332</v>
      </c>
      <c r="E162" s="33">
        <v>159</v>
      </c>
      <c r="F162" s="152">
        <v>127</v>
      </c>
      <c r="G162" s="33">
        <f>G163+G164</f>
        <v>330</v>
      </c>
      <c r="H162" s="151">
        <f>H163+H164</f>
        <v>243</v>
      </c>
      <c r="I162" s="151">
        <v>210</v>
      </c>
      <c r="J162" s="151">
        <f>+J163+J164</f>
        <v>211</v>
      </c>
      <c r="K162" s="151"/>
      <c r="L162" s="151"/>
      <c r="M162" s="151"/>
      <c r="N162" s="151"/>
      <c r="O162" s="151"/>
      <c r="P162" s="227" t="str">
        <f t="shared" si="56"/>
        <v/>
      </c>
      <c r="Q162" s="227" t="str">
        <f t="shared" si="57"/>
        <v/>
      </c>
      <c r="R162" s="227" t="str">
        <f t="shared" si="58"/>
        <v/>
      </c>
    </row>
    <row r="163" spans="1:18" ht="15" x14ac:dyDescent="0.2">
      <c r="A163" s="34"/>
      <c r="B163" s="35" t="s">
        <v>148</v>
      </c>
      <c r="C163" s="34" t="s">
        <v>20</v>
      </c>
      <c r="D163" s="36">
        <v>242</v>
      </c>
      <c r="E163" s="36">
        <v>159</v>
      </c>
      <c r="F163" s="182">
        <v>127</v>
      </c>
      <c r="G163" s="36">
        <v>330</v>
      </c>
      <c r="H163" s="148">
        <v>243</v>
      </c>
      <c r="I163" s="148">
        <v>210</v>
      </c>
      <c r="J163" s="148">
        <v>211</v>
      </c>
      <c r="K163" s="148">
        <v>402.8</v>
      </c>
      <c r="L163" s="148">
        <v>452</v>
      </c>
      <c r="M163" s="148"/>
      <c r="N163" s="148">
        <v>608</v>
      </c>
      <c r="O163" s="148">
        <v>717</v>
      </c>
      <c r="P163" s="227">
        <f t="shared" si="56"/>
        <v>134.51327433628319</v>
      </c>
      <c r="Q163" s="227">
        <f t="shared" si="57"/>
        <v>150.94339622641508</v>
      </c>
      <c r="R163" s="227">
        <f t="shared" si="58"/>
        <v>117.92763157894737</v>
      </c>
    </row>
    <row r="164" spans="1:18" ht="15" x14ac:dyDescent="0.2">
      <c r="A164" s="34"/>
      <c r="B164" s="35" t="s">
        <v>149</v>
      </c>
      <c r="C164" s="34" t="s">
        <v>20</v>
      </c>
      <c r="D164" s="36">
        <v>90</v>
      </c>
      <c r="E164" s="36"/>
      <c r="F164" s="163"/>
      <c r="G164" s="36"/>
      <c r="H164" s="148"/>
      <c r="I164" s="148"/>
      <c r="J164" s="148"/>
      <c r="K164" s="148"/>
      <c r="L164" s="148"/>
      <c r="M164" s="148"/>
      <c r="N164" s="148"/>
      <c r="O164" s="148"/>
      <c r="P164" s="227" t="str">
        <f t="shared" si="56"/>
        <v/>
      </c>
      <c r="Q164" s="227" t="str">
        <f t="shared" si="57"/>
        <v/>
      </c>
      <c r="R164" s="227" t="str">
        <f t="shared" si="58"/>
        <v/>
      </c>
    </row>
    <row r="165" spans="1:18" ht="30" x14ac:dyDescent="0.2">
      <c r="A165" s="31" t="s">
        <v>150</v>
      </c>
      <c r="B165" s="32" t="s">
        <v>151</v>
      </c>
      <c r="C165" s="31" t="s">
        <v>152</v>
      </c>
      <c r="D165" s="33">
        <v>1125</v>
      </c>
      <c r="E165" s="33">
        <v>760</v>
      </c>
      <c r="F165" s="151">
        <v>680</v>
      </c>
      <c r="G165" s="33">
        <v>645</v>
      </c>
      <c r="H165" s="145">
        <v>679</v>
      </c>
      <c r="I165" s="145">
        <v>640</v>
      </c>
      <c r="J165" s="145">
        <v>203.6</v>
      </c>
      <c r="K165" s="145">
        <v>244</v>
      </c>
      <c r="L165" s="145">
        <v>366</v>
      </c>
      <c r="M165" s="145">
        <v>344</v>
      </c>
      <c r="N165" s="145">
        <v>366</v>
      </c>
      <c r="O165" s="145">
        <v>366</v>
      </c>
      <c r="P165" s="226">
        <f t="shared" si="56"/>
        <v>100</v>
      </c>
      <c r="Q165" s="226">
        <f t="shared" si="57"/>
        <v>150</v>
      </c>
      <c r="R165" s="226">
        <f t="shared" si="58"/>
        <v>100</v>
      </c>
    </row>
    <row r="166" spans="1:18" ht="15" x14ac:dyDescent="0.2">
      <c r="A166" s="31" t="s">
        <v>153</v>
      </c>
      <c r="B166" s="32" t="s">
        <v>154</v>
      </c>
      <c r="C166" s="31" t="s">
        <v>20</v>
      </c>
      <c r="D166" s="33">
        <v>2012</v>
      </c>
      <c r="E166" s="33">
        <v>1419</v>
      </c>
      <c r="F166" s="151">
        <v>726</v>
      </c>
      <c r="G166" s="33">
        <f>G167+G168</f>
        <v>489</v>
      </c>
      <c r="H166" s="151">
        <v>392</v>
      </c>
      <c r="I166" s="151">
        <v>466</v>
      </c>
      <c r="J166" s="151">
        <f>+J167+J168</f>
        <v>552</v>
      </c>
      <c r="K166" s="151"/>
      <c r="L166" s="151"/>
      <c r="M166" s="151"/>
      <c r="N166" s="151"/>
      <c r="O166" s="151"/>
      <c r="P166" s="226" t="str">
        <f t="shared" si="56"/>
        <v/>
      </c>
      <c r="Q166" s="226" t="str">
        <f t="shared" si="57"/>
        <v/>
      </c>
      <c r="R166" s="226" t="str">
        <f t="shared" si="58"/>
        <v/>
      </c>
    </row>
    <row r="167" spans="1:18" ht="15" x14ac:dyDescent="0.2">
      <c r="A167" s="34"/>
      <c r="B167" s="35" t="s">
        <v>148</v>
      </c>
      <c r="C167" s="34" t="s">
        <v>20</v>
      </c>
      <c r="D167" s="36">
        <v>1559</v>
      </c>
      <c r="E167" s="36">
        <v>1223</v>
      </c>
      <c r="F167" s="163">
        <v>726</v>
      </c>
      <c r="G167" s="36">
        <v>489</v>
      </c>
      <c r="H167" s="148">
        <v>392</v>
      </c>
      <c r="I167" s="148">
        <v>466</v>
      </c>
      <c r="J167" s="148">
        <v>552</v>
      </c>
      <c r="K167" s="148">
        <v>653</v>
      </c>
      <c r="L167" s="148">
        <v>602</v>
      </c>
      <c r="M167" s="148"/>
      <c r="N167" s="148">
        <v>602</v>
      </c>
      <c r="O167" s="148">
        <v>933</v>
      </c>
      <c r="P167" s="226">
        <f t="shared" si="56"/>
        <v>100</v>
      </c>
      <c r="Q167" s="226">
        <f t="shared" si="57"/>
        <v>92.189892802450231</v>
      </c>
      <c r="R167" s="226">
        <f t="shared" si="58"/>
        <v>154.98338870431894</v>
      </c>
    </row>
    <row r="168" spans="1:18" ht="15" x14ac:dyDescent="0.2">
      <c r="A168" s="34"/>
      <c r="B168" s="35" t="s">
        <v>155</v>
      </c>
      <c r="C168" s="34" t="s">
        <v>20</v>
      </c>
      <c r="D168" s="36">
        <v>453</v>
      </c>
      <c r="E168" s="36">
        <v>196</v>
      </c>
      <c r="F168" s="163"/>
      <c r="G168" s="36"/>
      <c r="H168" s="148"/>
      <c r="I168" s="148"/>
      <c r="J168" s="148"/>
      <c r="K168" s="148"/>
      <c r="L168" s="148"/>
      <c r="M168" s="148"/>
      <c r="N168" s="148"/>
      <c r="O168" s="148"/>
      <c r="P168" s="226" t="str">
        <f t="shared" si="56"/>
        <v/>
      </c>
      <c r="Q168" s="226" t="str">
        <f t="shared" si="57"/>
        <v/>
      </c>
      <c r="R168" s="226" t="str">
        <f t="shared" si="58"/>
        <v/>
      </c>
    </row>
    <row r="169" spans="1:18" ht="16.5" x14ac:dyDescent="0.2">
      <c r="A169" s="31" t="s">
        <v>156</v>
      </c>
      <c r="B169" s="32" t="s">
        <v>157</v>
      </c>
      <c r="C169" s="31" t="s">
        <v>387</v>
      </c>
      <c r="D169" s="36"/>
      <c r="E169" s="36"/>
      <c r="F169" s="151"/>
      <c r="G169" s="36"/>
      <c r="H169" s="151"/>
      <c r="I169" s="151"/>
      <c r="J169" s="151"/>
      <c r="K169" s="151"/>
      <c r="L169" s="151"/>
      <c r="M169" s="151"/>
      <c r="N169" s="151"/>
      <c r="O169" s="151"/>
      <c r="P169" s="226" t="str">
        <f t="shared" si="56"/>
        <v/>
      </c>
      <c r="Q169" s="226" t="str">
        <f t="shared" si="57"/>
        <v/>
      </c>
      <c r="R169" s="226" t="str">
        <f t="shared" si="58"/>
        <v/>
      </c>
    </row>
    <row r="170" spans="1:18" ht="16.5" x14ac:dyDescent="0.2">
      <c r="A170" s="31" t="s">
        <v>58</v>
      </c>
      <c r="B170" s="32" t="s">
        <v>158</v>
      </c>
      <c r="C170" s="31" t="s">
        <v>387</v>
      </c>
      <c r="D170" s="33">
        <v>66773</v>
      </c>
      <c r="E170" s="33">
        <v>62570</v>
      </c>
      <c r="F170" s="151">
        <v>64000</v>
      </c>
      <c r="G170" s="33">
        <f>G171+G172</f>
        <v>63500</v>
      </c>
      <c r="H170" s="151">
        <f t="shared" ref="H170:J170" si="59">+H171+H172</f>
        <v>61269</v>
      </c>
      <c r="I170" s="151">
        <f t="shared" si="59"/>
        <v>24544.477999999999</v>
      </c>
      <c r="J170" s="151">
        <f t="shared" si="59"/>
        <v>32000</v>
      </c>
      <c r="K170" s="151">
        <f>K172+K173+K174</f>
        <v>56180</v>
      </c>
      <c r="L170" s="151">
        <f t="shared" ref="L170:O170" si="60">L172+L173+L174</f>
        <v>45000</v>
      </c>
      <c r="M170" s="151">
        <f t="shared" si="60"/>
        <v>9797</v>
      </c>
      <c r="N170" s="151">
        <f t="shared" si="60"/>
        <v>53600</v>
      </c>
      <c r="O170" s="151">
        <f t="shared" si="60"/>
        <v>46000</v>
      </c>
      <c r="P170" s="226">
        <f t="shared" si="56"/>
        <v>119.1111111111111</v>
      </c>
      <c r="Q170" s="226">
        <f t="shared" si="57"/>
        <v>95.407618369526531</v>
      </c>
      <c r="R170" s="226">
        <f t="shared" si="58"/>
        <v>85.820895522388057</v>
      </c>
    </row>
    <row r="171" spans="1:18" ht="18" x14ac:dyDescent="0.2">
      <c r="A171" s="34"/>
      <c r="B171" s="35" t="s">
        <v>159</v>
      </c>
      <c r="C171" s="34" t="s">
        <v>388</v>
      </c>
      <c r="D171" s="36"/>
      <c r="E171" s="36"/>
      <c r="F171" s="163"/>
      <c r="G171" s="36"/>
      <c r="H171" s="148"/>
      <c r="I171" s="228"/>
      <c r="J171" s="148"/>
      <c r="K171" s="148"/>
      <c r="L171" s="148"/>
      <c r="M171" s="148"/>
      <c r="N171" s="148"/>
      <c r="O171" s="148"/>
      <c r="P171" s="227" t="str">
        <f t="shared" ref="P171:P184" si="61">IFERROR(N171/L171*100,"")</f>
        <v/>
      </c>
      <c r="Q171" s="227" t="str">
        <f t="shared" ref="Q171:Q184" si="62">IFERROR(N171/K171*100,"")</f>
        <v/>
      </c>
      <c r="R171" s="227" t="str">
        <f t="shared" ref="R171:R184" si="63">IFERROR(O171/N171*100,"")</f>
        <v/>
      </c>
    </row>
    <row r="172" spans="1:18" ht="18" x14ac:dyDescent="0.25">
      <c r="A172" s="34"/>
      <c r="B172" s="35" t="s">
        <v>160</v>
      </c>
      <c r="C172" s="34" t="s">
        <v>388</v>
      </c>
      <c r="D172" s="36">
        <v>66773</v>
      </c>
      <c r="E172" s="36">
        <v>62570</v>
      </c>
      <c r="F172" s="163">
        <v>64000</v>
      </c>
      <c r="G172" s="36">
        <v>63500</v>
      </c>
      <c r="H172" s="148">
        <v>61269</v>
      </c>
      <c r="I172" s="229">
        <v>24544.477999999999</v>
      </c>
      <c r="J172" s="148">
        <v>32000</v>
      </c>
      <c r="K172" s="148">
        <v>44002</v>
      </c>
      <c r="L172" s="148">
        <v>30000</v>
      </c>
      <c r="M172" s="148">
        <v>5387</v>
      </c>
      <c r="N172" s="148">
        <v>35075</v>
      </c>
      <c r="O172" s="148">
        <v>30000</v>
      </c>
      <c r="P172" s="227">
        <f t="shared" si="61"/>
        <v>116.91666666666667</v>
      </c>
      <c r="Q172" s="227">
        <f t="shared" si="62"/>
        <v>79.712285805190675</v>
      </c>
      <c r="R172" s="227">
        <f t="shared" si="63"/>
        <v>85.531004989308627</v>
      </c>
    </row>
    <row r="173" spans="1:18" ht="18" x14ac:dyDescent="0.25">
      <c r="A173" s="34"/>
      <c r="B173" s="35" t="s">
        <v>291</v>
      </c>
      <c r="C173" s="34" t="s">
        <v>388</v>
      </c>
      <c r="D173" s="36"/>
      <c r="E173" s="36"/>
      <c r="F173" s="163"/>
      <c r="G173" s="36"/>
      <c r="H173" s="148"/>
      <c r="I173" s="230"/>
      <c r="J173" s="148">
        <v>12000</v>
      </c>
      <c r="K173" s="148">
        <v>8700</v>
      </c>
      <c r="L173" s="148">
        <v>9000</v>
      </c>
      <c r="M173" s="148">
        <v>2690</v>
      </c>
      <c r="N173" s="148">
        <v>9525</v>
      </c>
      <c r="O173" s="148">
        <v>9500</v>
      </c>
      <c r="P173" s="227">
        <f t="shared" si="61"/>
        <v>105.83333333333333</v>
      </c>
      <c r="Q173" s="227">
        <f t="shared" si="62"/>
        <v>109.48275862068965</v>
      </c>
      <c r="R173" s="227">
        <f t="shared" si="63"/>
        <v>99.737532808398953</v>
      </c>
    </row>
    <row r="174" spans="1:18" ht="18" x14ac:dyDescent="0.25">
      <c r="A174" s="34"/>
      <c r="B174" s="35" t="s">
        <v>292</v>
      </c>
      <c r="C174" s="34" t="s">
        <v>388</v>
      </c>
      <c r="D174" s="36"/>
      <c r="E174" s="36"/>
      <c r="F174" s="163"/>
      <c r="G174" s="36"/>
      <c r="H174" s="148"/>
      <c r="I174" s="230"/>
      <c r="J174" s="148">
        <v>9500</v>
      </c>
      <c r="K174" s="148">
        <v>3478</v>
      </c>
      <c r="L174" s="148">
        <v>6000</v>
      </c>
      <c r="M174" s="148">
        <v>1720</v>
      </c>
      <c r="N174" s="148">
        <v>9000</v>
      </c>
      <c r="O174" s="148">
        <v>6500</v>
      </c>
      <c r="P174" s="227">
        <f t="shared" si="61"/>
        <v>150</v>
      </c>
      <c r="Q174" s="227">
        <f t="shared" si="62"/>
        <v>258.76940770557792</v>
      </c>
      <c r="R174" s="227">
        <f t="shared" si="63"/>
        <v>72.222222222222214</v>
      </c>
    </row>
    <row r="175" spans="1:18" ht="15" hidden="1" x14ac:dyDescent="0.2">
      <c r="A175" s="31" t="s">
        <v>90</v>
      </c>
      <c r="B175" s="32" t="s">
        <v>161</v>
      </c>
      <c r="C175" s="31"/>
      <c r="D175" s="36"/>
      <c r="E175" s="36"/>
      <c r="F175" s="163"/>
      <c r="G175" s="36"/>
      <c r="H175" s="148"/>
      <c r="I175" s="231"/>
      <c r="J175" s="148"/>
      <c r="K175" s="148"/>
      <c r="L175" s="148"/>
      <c r="M175" s="148"/>
      <c r="N175" s="148"/>
      <c r="O175" s="148"/>
      <c r="P175" s="227" t="str">
        <f t="shared" si="61"/>
        <v/>
      </c>
      <c r="Q175" s="227" t="str">
        <f t="shared" si="62"/>
        <v/>
      </c>
      <c r="R175" s="227" t="str">
        <f t="shared" si="63"/>
        <v/>
      </c>
    </row>
    <row r="176" spans="1:18" ht="15" hidden="1" x14ac:dyDescent="0.2">
      <c r="A176" s="34"/>
      <c r="B176" s="35" t="s">
        <v>162</v>
      </c>
      <c r="C176" s="34" t="s">
        <v>163</v>
      </c>
      <c r="D176" s="36">
        <v>319690</v>
      </c>
      <c r="E176" s="36">
        <v>302560</v>
      </c>
      <c r="F176" s="163">
        <v>302900</v>
      </c>
      <c r="G176" s="36">
        <v>313400</v>
      </c>
      <c r="H176" s="148">
        <v>305620</v>
      </c>
      <c r="I176" s="148">
        <v>264208</v>
      </c>
      <c r="J176" s="148">
        <v>290000</v>
      </c>
      <c r="K176" s="148"/>
      <c r="L176" s="148"/>
      <c r="M176" s="148"/>
      <c r="N176" s="148"/>
      <c r="O176" s="148"/>
      <c r="P176" s="227" t="str">
        <f t="shared" si="61"/>
        <v/>
      </c>
      <c r="Q176" s="227" t="str">
        <f t="shared" si="62"/>
        <v/>
      </c>
      <c r="R176" s="227" t="str">
        <f t="shared" si="63"/>
        <v/>
      </c>
    </row>
    <row r="177" spans="1:18" ht="15" hidden="1" x14ac:dyDescent="0.2">
      <c r="A177" s="34"/>
      <c r="B177" s="35" t="s">
        <v>164</v>
      </c>
      <c r="C177" s="34" t="s">
        <v>165</v>
      </c>
      <c r="D177" s="36">
        <v>9248</v>
      </c>
      <c r="E177" s="36">
        <v>8750</v>
      </c>
      <c r="F177" s="163">
        <v>8500</v>
      </c>
      <c r="G177" s="36">
        <v>6110</v>
      </c>
      <c r="H177" s="148">
        <v>5922</v>
      </c>
      <c r="I177" s="148">
        <v>3816</v>
      </c>
      <c r="J177" s="148">
        <v>4000</v>
      </c>
      <c r="K177" s="148"/>
      <c r="L177" s="148"/>
      <c r="M177" s="148"/>
      <c r="N177" s="148"/>
      <c r="O177" s="148"/>
      <c r="P177" s="227" t="str">
        <f t="shared" si="61"/>
        <v/>
      </c>
      <c r="Q177" s="227" t="str">
        <f t="shared" si="62"/>
        <v/>
      </c>
      <c r="R177" s="227" t="str">
        <f t="shared" si="63"/>
        <v/>
      </c>
    </row>
    <row r="178" spans="1:18" ht="15" hidden="1" x14ac:dyDescent="0.2">
      <c r="A178" s="34"/>
      <c r="B178" s="35" t="s">
        <v>166</v>
      </c>
      <c r="C178" s="34" t="s">
        <v>165</v>
      </c>
      <c r="D178" s="36">
        <v>4280</v>
      </c>
      <c r="E178" s="36">
        <v>4162</v>
      </c>
      <c r="F178" s="163">
        <v>4200</v>
      </c>
      <c r="G178" s="36">
        <v>5580</v>
      </c>
      <c r="H178" s="148">
        <v>5205</v>
      </c>
      <c r="I178" s="148">
        <v>4812</v>
      </c>
      <c r="J178" s="148">
        <v>5000</v>
      </c>
      <c r="K178" s="148"/>
      <c r="L178" s="148"/>
      <c r="M178" s="148"/>
      <c r="N178" s="148"/>
      <c r="O178" s="148"/>
      <c r="P178" s="227" t="str">
        <f t="shared" si="61"/>
        <v/>
      </c>
      <c r="Q178" s="227" t="str">
        <f t="shared" si="62"/>
        <v/>
      </c>
      <c r="R178" s="227" t="str">
        <f t="shared" si="63"/>
        <v/>
      </c>
    </row>
    <row r="179" spans="1:18" ht="15" hidden="1" x14ac:dyDescent="0.2">
      <c r="A179" s="31" t="s">
        <v>167</v>
      </c>
      <c r="B179" s="32" t="s">
        <v>168</v>
      </c>
      <c r="C179" s="31"/>
      <c r="D179" s="36">
        <v>1125</v>
      </c>
      <c r="E179" s="36">
        <v>990</v>
      </c>
      <c r="F179" s="163">
        <v>680</v>
      </c>
      <c r="G179" s="33">
        <v>645</v>
      </c>
      <c r="H179" s="145">
        <v>741</v>
      </c>
      <c r="I179" s="145">
        <v>640</v>
      </c>
      <c r="J179" s="145">
        <v>704</v>
      </c>
      <c r="K179" s="145"/>
      <c r="L179" s="145"/>
      <c r="M179" s="145"/>
      <c r="N179" s="145"/>
      <c r="O179" s="145"/>
      <c r="P179" s="226" t="str">
        <f t="shared" si="61"/>
        <v/>
      </c>
      <c r="Q179" s="226" t="str">
        <f t="shared" si="62"/>
        <v/>
      </c>
      <c r="R179" s="226" t="str">
        <f t="shared" si="63"/>
        <v/>
      </c>
    </row>
    <row r="180" spans="1:18" ht="30" hidden="1" x14ac:dyDescent="0.2">
      <c r="A180" s="31" t="s">
        <v>169</v>
      </c>
      <c r="B180" s="32" t="s">
        <v>170</v>
      </c>
      <c r="C180" s="31"/>
      <c r="D180" s="36"/>
      <c r="E180" s="36"/>
      <c r="F180" s="163"/>
      <c r="G180" s="33"/>
      <c r="H180" s="145"/>
      <c r="I180" s="145"/>
      <c r="J180" s="145"/>
      <c r="K180" s="145"/>
      <c r="L180" s="145"/>
      <c r="M180" s="145"/>
      <c r="N180" s="145"/>
      <c r="O180" s="145"/>
      <c r="P180" s="226" t="str">
        <f t="shared" si="61"/>
        <v/>
      </c>
      <c r="Q180" s="226" t="str">
        <f t="shared" si="62"/>
        <v/>
      </c>
      <c r="R180" s="226" t="str">
        <f t="shared" si="63"/>
        <v/>
      </c>
    </row>
    <row r="181" spans="1:18" ht="15" hidden="1" x14ac:dyDescent="0.2">
      <c r="A181" s="34"/>
      <c r="B181" s="35" t="s">
        <v>171</v>
      </c>
      <c r="C181" s="34" t="s">
        <v>172</v>
      </c>
      <c r="D181" s="36">
        <v>256</v>
      </c>
      <c r="E181" s="36">
        <v>224</v>
      </c>
      <c r="F181" s="163">
        <v>250</v>
      </c>
      <c r="G181" s="36">
        <v>220</v>
      </c>
      <c r="H181" s="148">
        <v>376</v>
      </c>
      <c r="I181" s="148">
        <v>169</v>
      </c>
      <c r="J181" s="148">
        <v>400</v>
      </c>
      <c r="K181" s="148"/>
      <c r="L181" s="148"/>
      <c r="M181" s="148"/>
      <c r="N181" s="148"/>
      <c r="O181" s="148"/>
      <c r="P181" s="227" t="str">
        <f t="shared" si="61"/>
        <v/>
      </c>
      <c r="Q181" s="227" t="str">
        <f t="shared" si="62"/>
        <v/>
      </c>
      <c r="R181" s="227" t="str">
        <f t="shared" si="63"/>
        <v/>
      </c>
    </row>
    <row r="182" spans="1:18" ht="15" hidden="1" x14ac:dyDescent="0.2">
      <c r="A182" s="34"/>
      <c r="B182" s="35" t="s">
        <v>173</v>
      </c>
      <c r="C182" s="34" t="s">
        <v>25</v>
      </c>
      <c r="D182" s="36">
        <v>1570</v>
      </c>
      <c r="E182" s="36">
        <v>1530</v>
      </c>
      <c r="F182" s="163">
        <v>1600</v>
      </c>
      <c r="G182" s="36">
        <v>1190</v>
      </c>
      <c r="H182" s="148">
        <v>818</v>
      </c>
      <c r="I182" s="148">
        <v>741</v>
      </c>
      <c r="J182" s="148">
        <v>850</v>
      </c>
      <c r="K182" s="148"/>
      <c r="L182" s="148"/>
      <c r="M182" s="148"/>
      <c r="N182" s="148"/>
      <c r="O182" s="148"/>
      <c r="P182" s="227" t="str">
        <f t="shared" si="61"/>
        <v/>
      </c>
      <c r="Q182" s="227" t="str">
        <f t="shared" si="62"/>
        <v/>
      </c>
      <c r="R182" s="227" t="str">
        <f t="shared" si="63"/>
        <v/>
      </c>
    </row>
    <row r="183" spans="1:18" ht="15" x14ac:dyDescent="0.2">
      <c r="A183" s="31" t="s">
        <v>174</v>
      </c>
      <c r="B183" s="32" t="s">
        <v>175</v>
      </c>
      <c r="C183" s="31"/>
      <c r="D183" s="36"/>
      <c r="E183" s="36"/>
      <c r="F183" s="163"/>
      <c r="G183" s="36"/>
      <c r="H183" s="145"/>
      <c r="I183" s="145"/>
      <c r="J183" s="145"/>
      <c r="K183" s="145"/>
      <c r="L183" s="145"/>
      <c r="M183" s="145"/>
      <c r="N183" s="145"/>
      <c r="O183" s="145"/>
      <c r="P183" s="226" t="str">
        <f t="shared" si="61"/>
        <v/>
      </c>
      <c r="Q183" s="226" t="str">
        <f t="shared" si="62"/>
        <v/>
      </c>
      <c r="R183" s="226" t="str">
        <f t="shared" si="63"/>
        <v/>
      </c>
    </row>
    <row r="184" spans="1:18" ht="15" x14ac:dyDescent="0.2">
      <c r="A184" s="34"/>
      <c r="B184" s="35" t="s">
        <v>176</v>
      </c>
      <c r="C184" s="34"/>
      <c r="D184" s="36">
        <v>50700</v>
      </c>
      <c r="E184" s="36">
        <v>51341</v>
      </c>
      <c r="F184" s="163">
        <v>56793</v>
      </c>
      <c r="G184" s="36">
        <f>G160</f>
        <v>57753</v>
      </c>
      <c r="H184" s="148">
        <v>58008</v>
      </c>
      <c r="I184" s="148">
        <v>58122</v>
      </c>
      <c r="J184" s="148">
        <f>+J160</f>
        <v>58171</v>
      </c>
      <c r="K184" s="148">
        <v>58330</v>
      </c>
      <c r="L184" s="148">
        <v>66569</v>
      </c>
      <c r="M184" s="148">
        <v>66569</v>
      </c>
      <c r="N184" s="148">
        <v>66569</v>
      </c>
      <c r="O184" s="148">
        <f>+O160</f>
        <v>66750</v>
      </c>
      <c r="P184" s="227">
        <f t="shared" si="61"/>
        <v>100</v>
      </c>
      <c r="Q184" s="227">
        <f t="shared" si="62"/>
        <v>114.12480713183611</v>
      </c>
      <c r="R184" s="227">
        <f t="shared" si="63"/>
        <v>100.27189833105498</v>
      </c>
    </row>
    <row r="185" spans="1:18" ht="15" x14ac:dyDescent="0.2">
      <c r="A185" s="34"/>
      <c r="B185" s="35" t="s">
        <v>161</v>
      </c>
      <c r="C185" s="34"/>
      <c r="D185" s="36">
        <v>12033</v>
      </c>
      <c r="E185" s="36">
        <v>6533</v>
      </c>
      <c r="F185" s="163">
        <v>11035</v>
      </c>
      <c r="G185" s="36">
        <v>11744</v>
      </c>
      <c r="H185" s="148">
        <v>13444</v>
      </c>
      <c r="I185" s="148">
        <v>12370</v>
      </c>
      <c r="J185" s="148">
        <v>13711</v>
      </c>
      <c r="K185" s="148"/>
      <c r="L185" s="148"/>
      <c r="M185" s="148"/>
      <c r="N185" s="148"/>
      <c r="O185" s="148"/>
      <c r="P185" s="227" t="str">
        <f t="shared" ref="P185:P192" si="64">IFERROR(N185/L185*100,"")</f>
        <v/>
      </c>
      <c r="Q185" s="227" t="str">
        <f t="shared" ref="Q185:Q192" si="65">IFERROR(N185/K185*100,"")</f>
        <v/>
      </c>
      <c r="R185" s="227" t="str">
        <f t="shared" ref="R185:R192" si="66">IFERROR(O185/N185*100,"")</f>
        <v/>
      </c>
    </row>
    <row r="186" spans="1:18" ht="15" x14ac:dyDescent="0.2">
      <c r="A186" s="37">
        <v>3</v>
      </c>
      <c r="B186" s="38" t="s">
        <v>177</v>
      </c>
      <c r="C186" s="37"/>
      <c r="D186" s="36"/>
      <c r="E186" s="36"/>
      <c r="F186" s="154"/>
      <c r="G186" s="33"/>
      <c r="H186" s="36"/>
      <c r="I186" s="36"/>
      <c r="J186" s="36"/>
      <c r="K186" s="36"/>
      <c r="L186" s="36"/>
      <c r="M186" s="36"/>
      <c r="N186" s="36"/>
      <c r="O186" s="36"/>
      <c r="P186" s="149" t="str">
        <f t="shared" si="64"/>
        <v/>
      </c>
      <c r="Q186" s="149" t="str">
        <f t="shared" si="65"/>
        <v/>
      </c>
      <c r="R186" s="149" t="str">
        <f t="shared" si="66"/>
        <v/>
      </c>
    </row>
    <row r="187" spans="1:18" ht="15" x14ac:dyDescent="0.2">
      <c r="A187" s="31" t="s">
        <v>58</v>
      </c>
      <c r="B187" s="32" t="s">
        <v>178</v>
      </c>
      <c r="C187" s="31"/>
      <c r="D187" s="36"/>
      <c r="E187" s="36"/>
      <c r="F187" s="145"/>
      <c r="G187" s="33"/>
      <c r="H187" s="36"/>
      <c r="I187" s="36"/>
      <c r="J187" s="36"/>
      <c r="K187" s="36"/>
      <c r="L187" s="36"/>
      <c r="M187" s="36"/>
      <c r="N187" s="36"/>
      <c r="O187" s="36"/>
      <c r="P187" s="149" t="str">
        <f t="shared" si="64"/>
        <v/>
      </c>
      <c r="Q187" s="149" t="str">
        <f t="shared" si="65"/>
        <v/>
      </c>
      <c r="R187" s="149" t="str">
        <f t="shared" si="66"/>
        <v/>
      </c>
    </row>
    <row r="188" spans="1:18" ht="15" x14ac:dyDescent="0.2">
      <c r="A188" s="31" t="s">
        <v>60</v>
      </c>
      <c r="B188" s="32" t="s">
        <v>179</v>
      </c>
      <c r="C188" s="31" t="s">
        <v>25</v>
      </c>
      <c r="D188" s="33">
        <v>18911</v>
      </c>
      <c r="E188" s="33">
        <v>15840</v>
      </c>
      <c r="F188" s="151">
        <v>14269</v>
      </c>
      <c r="G188" s="33">
        <f t="shared" ref="G188:I188" si="67">G189+G191</f>
        <v>13055</v>
      </c>
      <c r="H188" s="33">
        <f t="shared" si="67"/>
        <v>9846</v>
      </c>
      <c r="I188" s="33">
        <f t="shared" si="67"/>
        <v>14126</v>
      </c>
      <c r="J188" s="33">
        <f>J189+J191</f>
        <v>13638</v>
      </c>
      <c r="K188" s="33">
        <f>K189+K191</f>
        <v>15648.980000000001</v>
      </c>
      <c r="L188" s="33">
        <f t="shared" ref="L188:O188" si="68">L189+L191</f>
        <v>14181.539999999999</v>
      </c>
      <c r="M188" s="33">
        <f t="shared" si="68"/>
        <v>7946</v>
      </c>
      <c r="N188" s="33">
        <f t="shared" si="68"/>
        <v>15101.1</v>
      </c>
      <c r="O188" s="33">
        <f t="shared" si="68"/>
        <v>15057</v>
      </c>
      <c r="P188" s="146">
        <f t="shared" si="64"/>
        <v>106.48420411323454</v>
      </c>
      <c r="Q188" s="146">
        <f t="shared" si="65"/>
        <v>96.498941145045876</v>
      </c>
      <c r="R188" s="146">
        <f t="shared" si="66"/>
        <v>99.707968293700461</v>
      </c>
    </row>
    <row r="189" spans="1:18" ht="15" x14ac:dyDescent="0.2">
      <c r="A189" s="34"/>
      <c r="B189" s="35" t="s">
        <v>180</v>
      </c>
      <c r="C189" s="34" t="s">
        <v>25</v>
      </c>
      <c r="D189" s="36">
        <v>3481</v>
      </c>
      <c r="E189" s="36">
        <v>3452</v>
      </c>
      <c r="F189" s="163">
        <v>3391</v>
      </c>
      <c r="G189" s="36">
        <f>G190</f>
        <v>2434</v>
      </c>
      <c r="H189" s="36">
        <f>H190</f>
        <v>2264</v>
      </c>
      <c r="I189" s="36">
        <v>2111</v>
      </c>
      <c r="J189" s="36">
        <f>J190</f>
        <v>2230</v>
      </c>
      <c r="K189" s="36">
        <v>2007.36</v>
      </c>
      <c r="L189" s="36">
        <f>L190</f>
        <v>2064.2399999999998</v>
      </c>
      <c r="M189" s="36">
        <v>1032</v>
      </c>
      <c r="N189" s="36">
        <f>N190</f>
        <v>2044.4</v>
      </c>
      <c r="O189" s="36">
        <f>O190</f>
        <v>2000</v>
      </c>
      <c r="P189" s="149">
        <f t="shared" si="64"/>
        <v>99.03887144905633</v>
      </c>
      <c r="Q189" s="149">
        <f t="shared" si="65"/>
        <v>101.84520962856689</v>
      </c>
      <c r="R189" s="149">
        <f t="shared" si="66"/>
        <v>97.828213656818619</v>
      </c>
    </row>
    <row r="190" spans="1:18" ht="15" x14ac:dyDescent="0.2">
      <c r="A190" s="34"/>
      <c r="B190" s="35" t="s">
        <v>181</v>
      </c>
      <c r="C190" s="34" t="s">
        <v>25</v>
      </c>
      <c r="D190" s="36">
        <v>3481</v>
      </c>
      <c r="E190" s="36">
        <v>3452</v>
      </c>
      <c r="F190" s="163">
        <v>3391</v>
      </c>
      <c r="G190" s="36">
        <v>2434</v>
      </c>
      <c r="H190" s="36">
        <v>2264</v>
      </c>
      <c r="I190" s="36">
        <v>2111</v>
      </c>
      <c r="J190" s="36">
        <v>2230</v>
      </c>
      <c r="K190" s="36">
        <v>2007.36</v>
      </c>
      <c r="L190" s="36">
        <v>2064.2399999999998</v>
      </c>
      <c r="M190" s="36">
        <v>1032</v>
      </c>
      <c r="N190" s="36">
        <v>2044.4</v>
      </c>
      <c r="O190" s="36">
        <v>2000</v>
      </c>
      <c r="P190" s="149">
        <f t="shared" si="64"/>
        <v>99.03887144905633</v>
      </c>
      <c r="Q190" s="149">
        <f t="shared" si="65"/>
        <v>101.84520962856689</v>
      </c>
      <c r="R190" s="149">
        <f t="shared" si="66"/>
        <v>97.828213656818619</v>
      </c>
    </row>
    <row r="191" spans="1:18" ht="15" x14ac:dyDescent="0.2">
      <c r="A191" s="34"/>
      <c r="B191" s="35" t="s">
        <v>182</v>
      </c>
      <c r="C191" s="34" t="s">
        <v>25</v>
      </c>
      <c r="D191" s="36">
        <v>15430</v>
      </c>
      <c r="E191" s="36">
        <v>12388</v>
      </c>
      <c r="F191" s="163">
        <v>10878</v>
      </c>
      <c r="G191" s="36">
        <f>G192</f>
        <v>10621</v>
      </c>
      <c r="H191" s="36">
        <f>H192</f>
        <v>7582</v>
      </c>
      <c r="I191" s="36">
        <v>12015</v>
      </c>
      <c r="J191" s="36">
        <f>J192</f>
        <v>11408</v>
      </c>
      <c r="K191" s="36">
        <v>13641.62</v>
      </c>
      <c r="L191" s="36">
        <f>L192</f>
        <v>12117.3</v>
      </c>
      <c r="M191" s="36">
        <v>6914</v>
      </c>
      <c r="N191" s="36">
        <f>N192</f>
        <v>13056.7</v>
      </c>
      <c r="O191" s="36">
        <f>O192</f>
        <v>13057</v>
      </c>
      <c r="P191" s="149">
        <f t="shared" si="64"/>
        <v>107.75255213620196</v>
      </c>
      <c r="Q191" s="149">
        <f t="shared" si="65"/>
        <v>95.712239455431245</v>
      </c>
      <c r="R191" s="149">
        <f t="shared" si="66"/>
        <v>100.00229767092756</v>
      </c>
    </row>
    <row r="192" spans="1:18" ht="15" x14ac:dyDescent="0.2">
      <c r="A192" s="34"/>
      <c r="B192" s="35" t="s">
        <v>183</v>
      </c>
      <c r="C192" s="34" t="s">
        <v>25</v>
      </c>
      <c r="D192" s="36">
        <v>15430</v>
      </c>
      <c r="E192" s="36">
        <v>12586</v>
      </c>
      <c r="F192" s="163">
        <v>10878</v>
      </c>
      <c r="G192" s="36">
        <v>10621</v>
      </c>
      <c r="H192" s="36">
        <v>7582</v>
      </c>
      <c r="I192" s="36">
        <v>12015</v>
      </c>
      <c r="J192" s="36">
        <v>11408</v>
      </c>
      <c r="K192" s="36">
        <v>13641.62</v>
      </c>
      <c r="L192" s="36">
        <v>12117.3</v>
      </c>
      <c r="M192" s="36">
        <v>6914</v>
      </c>
      <c r="N192" s="36">
        <v>13056.7</v>
      </c>
      <c r="O192" s="36">
        <v>13057</v>
      </c>
      <c r="P192" s="149">
        <f t="shared" si="64"/>
        <v>107.75255213620196</v>
      </c>
      <c r="Q192" s="149">
        <f t="shared" si="65"/>
        <v>95.712239455431245</v>
      </c>
      <c r="R192" s="149">
        <f t="shared" si="66"/>
        <v>100.00229767092756</v>
      </c>
    </row>
    <row r="193" spans="1:18" ht="15" x14ac:dyDescent="0.2">
      <c r="A193" s="31" t="s">
        <v>68</v>
      </c>
      <c r="B193" s="32" t="s">
        <v>184</v>
      </c>
      <c r="C193" s="31"/>
      <c r="D193" s="33"/>
      <c r="E193" s="33"/>
      <c r="F193" s="151"/>
      <c r="G193" s="36"/>
      <c r="H193" s="33"/>
      <c r="I193" s="33"/>
      <c r="J193" s="33"/>
      <c r="K193" s="33"/>
      <c r="L193" s="33"/>
      <c r="M193" s="33"/>
      <c r="N193" s="33"/>
      <c r="O193" s="33"/>
      <c r="P193" s="146" t="str">
        <f t="shared" ref="P193:P229" si="69">IFERROR(N193/L193*100,"")</f>
        <v/>
      </c>
      <c r="Q193" s="146" t="str">
        <f t="shared" ref="Q193:Q229" si="70">IFERROR(N193/K193*100,"")</f>
        <v/>
      </c>
      <c r="R193" s="146" t="str">
        <f t="shared" ref="R193:R229" si="71">IFERROR(O193/N193*100,"")</f>
        <v/>
      </c>
    </row>
    <row r="194" spans="1:18" ht="15" x14ac:dyDescent="0.25">
      <c r="A194" s="31" t="s">
        <v>75</v>
      </c>
      <c r="B194" s="32" t="s">
        <v>185</v>
      </c>
      <c r="C194" s="31" t="s">
        <v>186</v>
      </c>
      <c r="D194" s="146">
        <v>109.4</v>
      </c>
      <c r="E194" s="33">
        <v>105</v>
      </c>
      <c r="F194" s="232">
        <v>230.7</v>
      </c>
      <c r="G194" s="233">
        <v>204</v>
      </c>
      <c r="H194" s="33">
        <v>200</v>
      </c>
      <c r="I194" s="33">
        <v>23</v>
      </c>
      <c r="J194" s="33">
        <v>40</v>
      </c>
      <c r="K194" s="33">
        <v>53.28</v>
      </c>
      <c r="L194" s="33">
        <v>48</v>
      </c>
      <c r="M194" s="33">
        <v>27.7</v>
      </c>
      <c r="N194" s="147">
        <v>52.65</v>
      </c>
      <c r="O194" s="33">
        <v>50</v>
      </c>
      <c r="P194" s="146">
        <f t="shared" si="69"/>
        <v>109.6875</v>
      </c>
      <c r="Q194" s="146">
        <f t="shared" si="70"/>
        <v>98.817567567567565</v>
      </c>
      <c r="R194" s="146">
        <f t="shared" si="71"/>
        <v>94.966761633428291</v>
      </c>
    </row>
    <row r="195" spans="1:18" ht="15" x14ac:dyDescent="0.25">
      <c r="A195" s="31" t="s">
        <v>90</v>
      </c>
      <c r="B195" s="32" t="s">
        <v>187</v>
      </c>
      <c r="C195" s="31"/>
      <c r="D195" s="33"/>
      <c r="E195" s="33"/>
      <c r="F195" s="151"/>
      <c r="G195" s="234"/>
      <c r="H195" s="33"/>
      <c r="I195" s="33"/>
      <c r="J195" s="33"/>
      <c r="K195" s="33"/>
      <c r="L195" s="33"/>
      <c r="M195" s="33"/>
      <c r="N195" s="33"/>
      <c r="O195" s="33"/>
      <c r="P195" s="146" t="str">
        <f t="shared" si="69"/>
        <v/>
      </c>
      <c r="Q195" s="146" t="str">
        <f t="shared" si="70"/>
        <v/>
      </c>
      <c r="R195" s="146" t="str">
        <f t="shared" si="71"/>
        <v/>
      </c>
    </row>
    <row r="196" spans="1:18" ht="15" x14ac:dyDescent="0.25">
      <c r="A196" s="34" t="s">
        <v>92</v>
      </c>
      <c r="B196" s="35" t="s">
        <v>188</v>
      </c>
      <c r="C196" s="34" t="s">
        <v>189</v>
      </c>
      <c r="D196" s="36">
        <v>550</v>
      </c>
      <c r="E196" s="36">
        <v>1020</v>
      </c>
      <c r="F196" s="163">
        <v>1020</v>
      </c>
      <c r="G196" s="235">
        <v>724</v>
      </c>
      <c r="H196" s="36">
        <v>1020</v>
      </c>
      <c r="I196" s="36">
        <v>522</v>
      </c>
      <c r="J196" s="36">
        <v>522</v>
      </c>
      <c r="K196" s="36">
        <v>585</v>
      </c>
      <c r="L196" s="36">
        <v>585</v>
      </c>
      <c r="M196" s="36">
        <v>585</v>
      </c>
      <c r="N196" s="36">
        <v>585</v>
      </c>
      <c r="O196" s="36">
        <v>585</v>
      </c>
      <c r="P196" s="149">
        <f t="shared" si="69"/>
        <v>100</v>
      </c>
      <c r="Q196" s="149">
        <f t="shared" si="70"/>
        <v>100</v>
      </c>
      <c r="R196" s="149">
        <f t="shared" si="71"/>
        <v>100</v>
      </c>
    </row>
    <row r="197" spans="1:18" ht="15" x14ac:dyDescent="0.25">
      <c r="A197" s="34" t="s">
        <v>96</v>
      </c>
      <c r="B197" s="35" t="s">
        <v>190</v>
      </c>
      <c r="C197" s="34" t="s">
        <v>191</v>
      </c>
      <c r="D197" s="36">
        <v>1</v>
      </c>
      <c r="E197" s="36">
        <v>1</v>
      </c>
      <c r="F197" s="163">
        <v>1</v>
      </c>
      <c r="G197" s="234">
        <v>1</v>
      </c>
      <c r="H197" s="36">
        <v>1</v>
      </c>
      <c r="I197" s="36">
        <v>1</v>
      </c>
      <c r="J197" s="36">
        <v>1</v>
      </c>
      <c r="K197" s="36">
        <v>1</v>
      </c>
      <c r="L197" s="36">
        <v>1</v>
      </c>
      <c r="M197" s="36">
        <v>1</v>
      </c>
      <c r="N197" s="36">
        <v>1</v>
      </c>
      <c r="O197" s="36">
        <v>1</v>
      </c>
      <c r="P197" s="149">
        <f t="shared" si="69"/>
        <v>100</v>
      </c>
      <c r="Q197" s="149">
        <f t="shared" si="70"/>
        <v>100</v>
      </c>
      <c r="R197" s="149">
        <f t="shared" si="71"/>
        <v>100</v>
      </c>
    </row>
    <row r="198" spans="1:18" ht="15" x14ac:dyDescent="0.25">
      <c r="A198" s="34" t="s">
        <v>113</v>
      </c>
      <c r="B198" s="35" t="s">
        <v>192</v>
      </c>
      <c r="C198" s="34" t="s">
        <v>193</v>
      </c>
      <c r="D198" s="36">
        <v>10000</v>
      </c>
      <c r="E198" s="36">
        <v>10000</v>
      </c>
      <c r="F198" s="163">
        <v>3500</v>
      </c>
      <c r="G198" s="235">
        <v>3500</v>
      </c>
      <c r="H198" s="36">
        <v>3500</v>
      </c>
      <c r="I198" s="36">
        <v>3700</v>
      </c>
      <c r="J198" s="36">
        <v>3500</v>
      </c>
      <c r="K198" s="36">
        <v>3500</v>
      </c>
      <c r="L198" s="36">
        <v>3500</v>
      </c>
      <c r="M198" s="36">
        <v>3500</v>
      </c>
      <c r="N198" s="36">
        <v>3500</v>
      </c>
      <c r="O198" s="36">
        <v>3500</v>
      </c>
      <c r="P198" s="149">
        <f t="shared" si="69"/>
        <v>100</v>
      </c>
      <c r="Q198" s="149">
        <f t="shared" si="70"/>
        <v>100</v>
      </c>
      <c r="R198" s="149">
        <f t="shared" si="71"/>
        <v>100</v>
      </c>
    </row>
    <row r="199" spans="1:18" ht="15" x14ac:dyDescent="0.25">
      <c r="A199" s="34" t="s">
        <v>194</v>
      </c>
      <c r="B199" s="35" t="s">
        <v>195</v>
      </c>
      <c r="C199" s="34" t="s">
        <v>20</v>
      </c>
      <c r="D199" s="36"/>
      <c r="E199" s="36"/>
      <c r="F199" s="163"/>
      <c r="G199" s="234"/>
      <c r="H199" s="36"/>
      <c r="I199" s="36"/>
      <c r="J199" s="36"/>
      <c r="K199" s="36"/>
      <c r="L199" s="36"/>
      <c r="M199" s="36"/>
      <c r="N199" s="36"/>
      <c r="O199" s="36"/>
      <c r="P199" s="149" t="str">
        <f t="shared" si="69"/>
        <v/>
      </c>
      <c r="Q199" s="149" t="str">
        <f t="shared" si="70"/>
        <v/>
      </c>
      <c r="R199" s="149" t="str">
        <f t="shared" si="71"/>
        <v/>
      </c>
    </row>
    <row r="200" spans="1:18" ht="15" x14ac:dyDescent="0.25">
      <c r="A200" s="34"/>
      <c r="B200" s="35" t="s">
        <v>196</v>
      </c>
      <c r="C200" s="34" t="s">
        <v>20</v>
      </c>
      <c r="D200" s="36">
        <v>898</v>
      </c>
      <c r="E200" s="36">
        <v>781</v>
      </c>
      <c r="F200" s="163">
        <v>780</v>
      </c>
      <c r="G200" s="234">
        <v>747</v>
      </c>
      <c r="H200" s="36">
        <v>638</v>
      </c>
      <c r="I200" s="36">
        <v>580</v>
      </c>
      <c r="J200" s="36">
        <v>574</v>
      </c>
      <c r="K200" s="36">
        <v>577.48</v>
      </c>
      <c r="L200" s="36">
        <v>577</v>
      </c>
      <c r="M200" s="36">
        <v>232.3</v>
      </c>
      <c r="N200" s="36">
        <v>565.6</v>
      </c>
      <c r="O200" s="36">
        <v>566</v>
      </c>
      <c r="P200" s="149">
        <f t="shared" si="69"/>
        <v>98.024263431542465</v>
      </c>
      <c r="Q200" s="236">
        <f t="shared" si="70"/>
        <v>97.942785897347093</v>
      </c>
      <c r="R200" s="236">
        <f t="shared" si="71"/>
        <v>100.07072135785006</v>
      </c>
    </row>
    <row r="201" spans="1:18" ht="15" x14ac:dyDescent="0.2">
      <c r="A201" s="237" t="s">
        <v>14</v>
      </c>
      <c r="B201" s="238" t="s">
        <v>389</v>
      </c>
      <c r="C201" s="238"/>
      <c r="D201" s="239"/>
      <c r="E201" s="239"/>
      <c r="F201" s="239"/>
      <c r="G201" s="239"/>
      <c r="H201" s="239"/>
      <c r="I201" s="240"/>
      <c r="J201" s="239"/>
      <c r="K201" s="239"/>
      <c r="L201" s="239"/>
      <c r="M201" s="239"/>
      <c r="N201" s="239"/>
      <c r="O201" s="239"/>
      <c r="P201" s="241" t="str">
        <f t="shared" si="69"/>
        <v/>
      </c>
      <c r="Q201" s="242" t="str">
        <f t="shared" si="70"/>
        <v/>
      </c>
      <c r="R201" s="236" t="str">
        <f t="shared" ref="R201:R208" si="72">IFERROR(O201/N201*100,"")</f>
        <v/>
      </c>
    </row>
    <row r="202" spans="1:18" ht="15" x14ac:dyDescent="0.2">
      <c r="A202" s="243">
        <v>1</v>
      </c>
      <c r="B202" s="244" t="s">
        <v>207</v>
      </c>
      <c r="C202" s="245" t="s">
        <v>17</v>
      </c>
      <c r="D202" s="239"/>
      <c r="E202" s="239"/>
      <c r="F202" s="239"/>
      <c r="G202" s="239"/>
      <c r="H202" s="239"/>
      <c r="I202" s="246">
        <v>45</v>
      </c>
      <c r="J202" s="246">
        <v>55</v>
      </c>
      <c r="K202" s="246">
        <v>61</v>
      </c>
      <c r="L202" s="246">
        <v>65</v>
      </c>
      <c r="M202" s="246">
        <v>61</v>
      </c>
      <c r="N202" s="246">
        <v>65</v>
      </c>
      <c r="O202" s="246">
        <v>68</v>
      </c>
      <c r="P202" s="242">
        <f t="shared" si="69"/>
        <v>100</v>
      </c>
      <c r="Q202" s="242">
        <f t="shared" si="70"/>
        <v>106.55737704918033</v>
      </c>
      <c r="R202" s="236">
        <f t="shared" si="72"/>
        <v>104.61538461538463</v>
      </c>
    </row>
    <row r="203" spans="1:18" ht="15" x14ac:dyDescent="0.2">
      <c r="A203" s="247">
        <v>2</v>
      </c>
      <c r="B203" s="248" t="s">
        <v>197</v>
      </c>
      <c r="C203" s="247" t="s">
        <v>6</v>
      </c>
      <c r="D203" s="172">
        <v>20</v>
      </c>
      <c r="E203" s="172">
        <v>27.5</v>
      </c>
      <c r="F203" s="172">
        <v>33.700000000000003</v>
      </c>
      <c r="G203" s="172">
        <v>45</v>
      </c>
      <c r="H203" s="172">
        <v>52.5</v>
      </c>
      <c r="I203" s="172">
        <v>63.4</v>
      </c>
      <c r="J203" s="172">
        <v>77.464788732394368</v>
      </c>
      <c r="K203" s="172">
        <v>85.91549295774648</v>
      </c>
      <c r="L203" s="172">
        <v>91.549295774647888</v>
      </c>
      <c r="M203" s="172">
        <v>85.91549295774648</v>
      </c>
      <c r="N203" s="172">
        <v>91.549295774647888</v>
      </c>
      <c r="O203" s="172">
        <v>95.774647887323937</v>
      </c>
      <c r="P203" s="227">
        <f t="shared" si="69"/>
        <v>100</v>
      </c>
      <c r="Q203" s="227">
        <f t="shared" si="70"/>
        <v>106.55737704918033</v>
      </c>
      <c r="R203" s="236">
        <f t="shared" si="72"/>
        <v>104.6153846153846</v>
      </c>
    </row>
    <row r="204" spans="1:18" ht="30" x14ac:dyDescent="0.2">
      <c r="A204" s="247">
        <v>3</v>
      </c>
      <c r="B204" s="248" t="s">
        <v>290</v>
      </c>
      <c r="C204" s="247" t="s">
        <v>17</v>
      </c>
      <c r="D204" s="249"/>
      <c r="E204" s="249"/>
      <c r="F204" s="249"/>
      <c r="G204" s="249"/>
      <c r="H204" s="249"/>
      <c r="I204" s="249">
        <v>1</v>
      </c>
      <c r="J204" s="249">
        <v>8</v>
      </c>
      <c r="K204" s="250">
        <v>17</v>
      </c>
      <c r="L204" s="250">
        <v>25</v>
      </c>
      <c r="M204" s="250">
        <v>17</v>
      </c>
      <c r="N204" s="250">
        <v>25</v>
      </c>
      <c r="O204" s="250">
        <v>25</v>
      </c>
      <c r="P204" s="227">
        <f t="shared" si="69"/>
        <v>100</v>
      </c>
      <c r="Q204" s="227">
        <f t="shared" si="70"/>
        <v>147.05882352941177</v>
      </c>
      <c r="R204" s="236">
        <f t="shared" si="72"/>
        <v>100</v>
      </c>
    </row>
    <row r="205" spans="1:18" ht="15" x14ac:dyDescent="0.2">
      <c r="A205" s="247">
        <v>4</v>
      </c>
      <c r="B205" s="248" t="s">
        <v>205</v>
      </c>
      <c r="C205" s="247" t="s">
        <v>18</v>
      </c>
      <c r="D205" s="249"/>
      <c r="E205" s="249"/>
      <c r="F205" s="249"/>
      <c r="G205" s="249"/>
      <c r="H205" s="249"/>
      <c r="I205" s="249">
        <v>17</v>
      </c>
      <c r="J205" s="249">
        <v>17.8</v>
      </c>
      <c r="K205" s="249">
        <v>17.600000000000001</v>
      </c>
      <c r="L205" s="249">
        <v>18.600000000000001</v>
      </c>
      <c r="M205" s="249">
        <v>18.100000000000001</v>
      </c>
      <c r="N205" s="249">
        <v>18.600000000000001</v>
      </c>
      <c r="O205" s="249">
        <v>18.8</v>
      </c>
      <c r="P205" s="251">
        <f t="shared" si="69"/>
        <v>100</v>
      </c>
      <c r="Q205" s="251">
        <f t="shared" si="70"/>
        <v>105.68181818181819</v>
      </c>
      <c r="R205" s="236">
        <f t="shared" si="72"/>
        <v>101.0752688172043</v>
      </c>
    </row>
    <row r="206" spans="1:18" ht="30" x14ac:dyDescent="0.2">
      <c r="A206" s="247">
        <v>5</v>
      </c>
      <c r="B206" s="248" t="s">
        <v>206</v>
      </c>
      <c r="C206" s="247" t="s">
        <v>17</v>
      </c>
      <c r="D206" s="249"/>
      <c r="E206" s="249"/>
      <c r="F206" s="249"/>
      <c r="G206" s="249"/>
      <c r="H206" s="249"/>
      <c r="I206" s="249">
        <v>1</v>
      </c>
      <c r="J206" s="249">
        <v>2</v>
      </c>
      <c r="K206" s="250">
        <v>1</v>
      </c>
      <c r="L206" s="250">
        <v>3</v>
      </c>
      <c r="M206" s="250">
        <v>1</v>
      </c>
      <c r="N206" s="250">
        <v>3</v>
      </c>
      <c r="O206" s="250">
        <v>4</v>
      </c>
      <c r="P206" s="251">
        <f t="shared" si="69"/>
        <v>100</v>
      </c>
      <c r="Q206" s="251">
        <f t="shared" si="70"/>
        <v>300</v>
      </c>
      <c r="R206" s="236">
        <f t="shared" si="72"/>
        <v>133.33333333333331</v>
      </c>
    </row>
    <row r="207" spans="1:18" ht="15" x14ac:dyDescent="0.2">
      <c r="A207" s="252" t="s">
        <v>7</v>
      </c>
      <c r="B207" s="253" t="s">
        <v>390</v>
      </c>
      <c r="C207" s="253"/>
      <c r="D207" s="254"/>
      <c r="E207" s="254"/>
      <c r="F207" s="254"/>
      <c r="G207" s="254"/>
      <c r="H207" s="254"/>
      <c r="I207" s="254"/>
      <c r="J207" s="254"/>
      <c r="K207" s="254"/>
      <c r="L207" s="254"/>
      <c r="M207" s="254"/>
      <c r="N207" s="254"/>
      <c r="O207" s="254"/>
      <c r="P207" s="251" t="str">
        <f t="shared" si="69"/>
        <v/>
      </c>
      <c r="Q207" s="251" t="str">
        <f t="shared" si="70"/>
        <v/>
      </c>
      <c r="R207" s="236" t="str">
        <f t="shared" si="72"/>
        <v/>
      </c>
    </row>
    <row r="208" spans="1:18" ht="30" x14ac:dyDescent="0.2">
      <c r="A208" s="247">
        <v>1</v>
      </c>
      <c r="B208" s="248" t="s">
        <v>199</v>
      </c>
      <c r="C208" s="247" t="s">
        <v>6</v>
      </c>
      <c r="D208" s="172">
        <v>97.5</v>
      </c>
      <c r="E208" s="255">
        <v>97.69</v>
      </c>
      <c r="F208" s="255">
        <v>98.69</v>
      </c>
      <c r="G208" s="255">
        <v>98.84</v>
      </c>
      <c r="H208" s="255">
        <v>98.9</v>
      </c>
      <c r="I208" s="172">
        <v>99</v>
      </c>
      <c r="J208" s="172">
        <v>99.2</v>
      </c>
      <c r="K208" s="172">
        <v>99.4</v>
      </c>
      <c r="L208" s="172">
        <v>99.6</v>
      </c>
      <c r="M208" s="172">
        <v>99.6</v>
      </c>
      <c r="N208" s="172">
        <v>99.6</v>
      </c>
      <c r="O208" s="172">
        <v>99.8</v>
      </c>
      <c r="P208" s="227">
        <f t="shared" si="69"/>
        <v>100</v>
      </c>
      <c r="Q208" s="227">
        <f t="shared" si="70"/>
        <v>100.20120724346076</v>
      </c>
      <c r="R208" s="236">
        <f t="shared" si="72"/>
        <v>100.20080321285141</v>
      </c>
    </row>
    <row r="209" spans="1:18" ht="45" x14ac:dyDescent="0.2">
      <c r="A209" s="247">
        <v>2</v>
      </c>
      <c r="B209" s="248" t="s">
        <v>200</v>
      </c>
      <c r="C209" s="247" t="s">
        <v>6</v>
      </c>
      <c r="D209" s="256">
        <v>48.47</v>
      </c>
      <c r="E209" s="256">
        <v>51.36</v>
      </c>
      <c r="F209" s="256">
        <v>59.9</v>
      </c>
      <c r="G209" s="256">
        <v>59</v>
      </c>
      <c r="H209" s="256">
        <v>61</v>
      </c>
      <c r="I209" s="257">
        <v>62</v>
      </c>
      <c r="J209" s="172">
        <v>64</v>
      </c>
      <c r="K209" s="172">
        <v>66.2</v>
      </c>
      <c r="L209" s="172">
        <v>68</v>
      </c>
      <c r="M209" s="172">
        <v>68</v>
      </c>
      <c r="N209" s="172">
        <v>68</v>
      </c>
      <c r="O209" s="172">
        <v>70</v>
      </c>
      <c r="P209" s="227">
        <f t="shared" si="69"/>
        <v>100</v>
      </c>
      <c r="Q209" s="227">
        <f t="shared" si="70"/>
        <v>102.71903323262839</v>
      </c>
      <c r="R209" s="227">
        <f t="shared" si="71"/>
        <v>102.94117647058823</v>
      </c>
    </row>
    <row r="210" spans="1:18" s="137" customFormat="1" ht="30" x14ac:dyDescent="0.2">
      <c r="A210" s="258"/>
      <c r="B210" s="259" t="s">
        <v>329</v>
      </c>
      <c r="C210" s="258" t="s">
        <v>330</v>
      </c>
      <c r="D210" s="260"/>
      <c r="E210" s="260"/>
      <c r="F210" s="260"/>
      <c r="G210" s="260"/>
      <c r="H210" s="260"/>
      <c r="I210" s="261" t="s">
        <v>332</v>
      </c>
      <c r="J210" s="36">
        <v>4411</v>
      </c>
      <c r="K210" s="36">
        <v>1245</v>
      </c>
      <c r="L210" s="36">
        <v>500</v>
      </c>
      <c r="M210" s="36">
        <v>2880</v>
      </c>
      <c r="N210" s="36">
        <v>3000</v>
      </c>
      <c r="O210" s="36">
        <v>800</v>
      </c>
      <c r="P210" s="227">
        <f t="shared" si="69"/>
        <v>600</v>
      </c>
      <c r="Q210" s="227">
        <f t="shared" si="70"/>
        <v>240.96385542168676</v>
      </c>
      <c r="R210" s="227">
        <f t="shared" si="71"/>
        <v>26.666666666666668</v>
      </c>
    </row>
    <row r="211" spans="1:18" ht="30" x14ac:dyDescent="0.2">
      <c r="A211" s="247">
        <v>3</v>
      </c>
      <c r="B211" s="248" t="s">
        <v>201</v>
      </c>
      <c r="C211" s="247" t="s">
        <v>6</v>
      </c>
      <c r="D211" s="262">
        <v>16.100000000000001</v>
      </c>
      <c r="E211" s="262">
        <v>16.100000000000001</v>
      </c>
      <c r="F211" s="262">
        <v>16.100000000000001</v>
      </c>
      <c r="G211" s="262">
        <v>16.2</v>
      </c>
      <c r="H211" s="262">
        <v>16.3</v>
      </c>
      <c r="I211" s="172">
        <v>16.3</v>
      </c>
      <c r="J211" s="172">
        <v>16.3</v>
      </c>
      <c r="K211" s="172">
        <v>16.3</v>
      </c>
      <c r="L211" s="172">
        <v>16.3</v>
      </c>
      <c r="M211" s="172">
        <v>16.3</v>
      </c>
      <c r="N211" s="172">
        <v>16.3</v>
      </c>
      <c r="O211" s="172">
        <v>16.3</v>
      </c>
      <c r="P211" s="149">
        <f t="shared" si="69"/>
        <v>100</v>
      </c>
      <c r="Q211" s="236">
        <f>IFERROR(N211/K211*100,"")</f>
        <v>100</v>
      </c>
      <c r="R211" s="236">
        <f>IFERROR(O211/N211*100,"")</f>
        <v>100</v>
      </c>
    </row>
    <row r="212" spans="1:18" ht="29.25" hidden="1" x14ac:dyDescent="0.2">
      <c r="A212" s="252" t="s">
        <v>198</v>
      </c>
      <c r="B212" s="263" t="s">
        <v>391</v>
      </c>
      <c r="C212" s="263"/>
      <c r="D212" s="264"/>
      <c r="E212" s="264"/>
      <c r="F212" s="264"/>
      <c r="G212" s="264"/>
      <c r="H212" s="264"/>
      <c r="I212" s="264"/>
      <c r="J212" s="264"/>
      <c r="K212" s="264"/>
      <c r="L212" s="264"/>
      <c r="M212" s="264"/>
      <c r="N212" s="264"/>
      <c r="O212" s="264"/>
      <c r="P212" s="265" t="str">
        <f t="shared" si="69"/>
        <v/>
      </c>
      <c r="Q212" s="265" t="str">
        <f t="shared" si="70"/>
        <v/>
      </c>
      <c r="R212" s="265" t="str">
        <f t="shared" si="71"/>
        <v/>
      </c>
    </row>
    <row r="213" spans="1:18" ht="45" hidden="1" x14ac:dyDescent="0.2">
      <c r="A213" s="266">
        <v>1</v>
      </c>
      <c r="B213" s="267" t="s">
        <v>202</v>
      </c>
      <c r="C213" s="266" t="s">
        <v>203</v>
      </c>
      <c r="D213" s="262">
        <v>88.54</v>
      </c>
      <c r="E213" s="262">
        <v>88.03</v>
      </c>
      <c r="F213" s="262">
        <v>95.58</v>
      </c>
      <c r="G213" s="262">
        <v>95.62</v>
      </c>
      <c r="H213" s="262">
        <v>97.5</v>
      </c>
      <c r="I213" s="262">
        <v>100</v>
      </c>
      <c r="J213" s="268">
        <v>102.26192191424684</v>
      </c>
      <c r="K213" s="269">
        <v>106</v>
      </c>
      <c r="L213" s="269">
        <v>108</v>
      </c>
      <c r="M213" s="269">
        <v>109</v>
      </c>
      <c r="N213" s="269">
        <v>109</v>
      </c>
      <c r="O213" s="269">
        <v>112</v>
      </c>
      <c r="P213" s="270">
        <f t="shared" si="69"/>
        <v>100.92592592592592</v>
      </c>
      <c r="Q213" s="270">
        <f t="shared" si="70"/>
        <v>102.8301886792453</v>
      </c>
      <c r="R213" s="270">
        <f>IFERROR(O213/N213*100,"")</f>
        <v>102.75229357798166</v>
      </c>
    </row>
    <row r="214" spans="1:18" ht="45" hidden="1" x14ac:dyDescent="0.2">
      <c r="A214" s="271">
        <v>2</v>
      </c>
      <c r="B214" s="272" t="s">
        <v>352</v>
      </c>
      <c r="C214" s="271" t="s">
        <v>6</v>
      </c>
      <c r="D214" s="254"/>
      <c r="E214" s="254"/>
      <c r="F214" s="254"/>
      <c r="G214" s="254"/>
      <c r="H214" s="254"/>
      <c r="I214" s="254"/>
      <c r="J214" s="250"/>
      <c r="K214" s="273">
        <f t="shared" ref="K214:L214" si="73">K215*0.7+K216*0.269+K217*0.022</f>
        <v>14.059530000000001</v>
      </c>
      <c r="L214" s="273">
        <f t="shared" si="73"/>
        <v>14.468794000000001</v>
      </c>
      <c r="M214" s="273">
        <f>M215*0.7+M216*0.269+M217*0.022</f>
        <v>14.188485999999999</v>
      </c>
      <c r="N214" s="273">
        <f t="shared" ref="N214" si="74">N215*0.7+N216*0.269+N217*0.022</f>
        <v>14.468794000000001</v>
      </c>
      <c r="O214" s="273">
        <f t="shared" ref="O214" si="75">O215*0.7+O216*0.269+O217*0.022</f>
        <v>16.223300000000002</v>
      </c>
      <c r="P214" s="274">
        <f t="shared" si="69"/>
        <v>100</v>
      </c>
      <c r="Q214" s="274">
        <f t="shared" si="70"/>
        <v>102.91093656758086</v>
      </c>
      <c r="R214" s="274">
        <f t="shared" si="71"/>
        <v>112.12613850193736</v>
      </c>
    </row>
    <row r="215" spans="1:18" s="137" customFormat="1" ht="15" hidden="1" x14ac:dyDescent="0.2">
      <c r="A215" s="275"/>
      <c r="B215" s="276" t="s">
        <v>46</v>
      </c>
      <c r="C215" s="271" t="s">
        <v>6</v>
      </c>
      <c r="D215" s="277"/>
      <c r="E215" s="277"/>
      <c r="F215" s="277"/>
      <c r="G215" s="277"/>
      <c r="H215" s="277"/>
      <c r="I215" s="277"/>
      <c r="J215" s="278"/>
      <c r="K215" s="249">
        <v>7.4</v>
      </c>
      <c r="L215" s="249">
        <v>7.6</v>
      </c>
      <c r="M215" s="249">
        <v>7.2</v>
      </c>
      <c r="N215" s="249">
        <v>7.6</v>
      </c>
      <c r="O215" s="249">
        <v>7.8</v>
      </c>
      <c r="P215" s="279">
        <f t="shared" si="69"/>
        <v>100</v>
      </c>
      <c r="Q215" s="279">
        <f t="shared" si="70"/>
        <v>102.70270270270269</v>
      </c>
      <c r="R215" s="279">
        <f t="shared" si="71"/>
        <v>102.63157894736842</v>
      </c>
    </row>
    <row r="216" spans="1:18" s="137" customFormat="1" ht="15" hidden="1" x14ac:dyDescent="0.2">
      <c r="A216" s="275"/>
      <c r="B216" s="276" t="s">
        <v>47</v>
      </c>
      <c r="C216" s="271" t="s">
        <v>6</v>
      </c>
      <c r="D216" s="277"/>
      <c r="E216" s="277"/>
      <c r="F216" s="277"/>
      <c r="G216" s="277"/>
      <c r="H216" s="277"/>
      <c r="I216" s="277"/>
      <c r="J216" s="278"/>
      <c r="K216" s="278">
        <v>33</v>
      </c>
      <c r="L216" s="278">
        <v>34</v>
      </c>
      <c r="M216" s="278">
        <v>34</v>
      </c>
      <c r="N216" s="278">
        <v>34</v>
      </c>
      <c r="O216" s="278">
        <v>40</v>
      </c>
      <c r="P216" s="279">
        <f t="shared" si="69"/>
        <v>100</v>
      </c>
      <c r="Q216" s="279">
        <f t="shared" si="70"/>
        <v>103.03030303030303</v>
      </c>
      <c r="R216" s="279">
        <f t="shared" si="71"/>
        <v>117.64705882352942</v>
      </c>
    </row>
    <row r="217" spans="1:18" s="137" customFormat="1" ht="15" hidden="1" x14ac:dyDescent="0.2">
      <c r="A217" s="275"/>
      <c r="B217" s="276" t="s">
        <v>52</v>
      </c>
      <c r="C217" s="271" t="s">
        <v>6</v>
      </c>
      <c r="D217" s="277"/>
      <c r="E217" s="277"/>
      <c r="F217" s="277"/>
      <c r="G217" s="277"/>
      <c r="H217" s="277"/>
      <c r="I217" s="277"/>
      <c r="J217" s="278"/>
      <c r="K217" s="280">
        <v>0.115</v>
      </c>
      <c r="L217" s="280">
        <v>0.127</v>
      </c>
      <c r="M217" s="280">
        <v>0.113</v>
      </c>
      <c r="N217" s="280">
        <v>0.127</v>
      </c>
      <c r="O217" s="280">
        <v>0.15</v>
      </c>
      <c r="P217" s="279">
        <f t="shared" si="69"/>
        <v>100</v>
      </c>
      <c r="Q217" s="279">
        <f t="shared" si="70"/>
        <v>110.43478260869566</v>
      </c>
      <c r="R217" s="279">
        <f t="shared" si="71"/>
        <v>118.11023622047243</v>
      </c>
    </row>
    <row r="218" spans="1:18" ht="60" hidden="1" x14ac:dyDescent="0.2">
      <c r="A218" s="271">
        <v>3</v>
      </c>
      <c r="B218" s="272" t="s">
        <v>353</v>
      </c>
      <c r="C218" s="271" t="s">
        <v>6</v>
      </c>
      <c r="D218" s="254"/>
      <c r="E218" s="254"/>
      <c r="F218" s="254"/>
      <c r="G218" s="254"/>
      <c r="H218" s="254"/>
      <c r="I218" s="254"/>
      <c r="J218" s="250"/>
      <c r="K218" s="249">
        <f>K219*0.75+K220*0.25+K221*0.025</f>
        <v>3.3647380786226297</v>
      </c>
      <c r="L218" s="249">
        <f t="shared" ref="L218:O218" si="76">L219*0.75+L220*0.25+L221*0.025</f>
        <v>4.4152500000000003</v>
      </c>
      <c r="M218" s="249">
        <f t="shared" si="76"/>
        <v>3.9089036565939397</v>
      </c>
      <c r="N218" s="249">
        <f t="shared" si="76"/>
        <v>4.4152500000000003</v>
      </c>
      <c r="O218" s="249">
        <f t="shared" si="76"/>
        <v>4.5002500000000003</v>
      </c>
      <c r="P218" s="251">
        <f t="shared" si="69"/>
        <v>100</v>
      </c>
      <c r="Q218" s="251">
        <f t="shared" si="70"/>
        <v>131.22120940264693</v>
      </c>
      <c r="R218" s="251">
        <f t="shared" si="71"/>
        <v>101.92514580148348</v>
      </c>
    </row>
    <row r="219" spans="1:18" ht="15" hidden="1" x14ac:dyDescent="0.2">
      <c r="A219" s="271"/>
      <c r="B219" s="276" t="s">
        <v>46</v>
      </c>
      <c r="C219" s="271" t="s">
        <v>6</v>
      </c>
      <c r="D219" s="254"/>
      <c r="E219" s="254"/>
      <c r="F219" s="254"/>
      <c r="G219" s="254"/>
      <c r="H219" s="254"/>
      <c r="I219" s="254"/>
      <c r="J219" s="250"/>
      <c r="K219" s="249">
        <v>0.73498410483017329</v>
      </c>
      <c r="L219" s="249">
        <v>1</v>
      </c>
      <c r="M219" s="249">
        <v>0.61687154212525253</v>
      </c>
      <c r="N219" s="249">
        <v>1</v>
      </c>
      <c r="O219" s="249">
        <v>1.1000000000000001</v>
      </c>
      <c r="P219" s="251">
        <f t="shared" si="69"/>
        <v>100</v>
      </c>
      <c r="Q219" s="251">
        <f t="shared" si="70"/>
        <v>136.05736415633939</v>
      </c>
      <c r="R219" s="251">
        <f t="shared" si="71"/>
        <v>110.00000000000001</v>
      </c>
    </row>
    <row r="220" spans="1:18" ht="15" hidden="1" x14ac:dyDescent="0.2">
      <c r="A220" s="271"/>
      <c r="B220" s="276" t="s">
        <v>47</v>
      </c>
      <c r="C220" s="271" t="s">
        <v>6</v>
      </c>
      <c r="D220" s="254"/>
      <c r="E220" s="254"/>
      <c r="F220" s="254"/>
      <c r="G220" s="254"/>
      <c r="H220" s="254"/>
      <c r="I220" s="254"/>
      <c r="J220" s="250"/>
      <c r="K220" s="250">
        <v>11</v>
      </c>
      <c r="L220" s="250">
        <v>14</v>
      </c>
      <c r="M220" s="250">
        <v>13</v>
      </c>
      <c r="N220" s="250">
        <v>14</v>
      </c>
      <c r="O220" s="250">
        <v>14</v>
      </c>
      <c r="P220" s="251">
        <f t="shared" si="69"/>
        <v>100</v>
      </c>
      <c r="Q220" s="251">
        <f t="shared" si="70"/>
        <v>127.27272727272727</v>
      </c>
      <c r="R220" s="251">
        <f t="shared" si="71"/>
        <v>100</v>
      </c>
    </row>
    <row r="221" spans="1:18" ht="15" hidden="1" x14ac:dyDescent="0.2">
      <c r="A221" s="271"/>
      <c r="B221" s="276" t="s">
        <v>52</v>
      </c>
      <c r="C221" s="271" t="s">
        <v>6</v>
      </c>
      <c r="D221" s="254"/>
      <c r="E221" s="254"/>
      <c r="F221" s="254"/>
      <c r="G221" s="254"/>
      <c r="H221" s="254"/>
      <c r="I221" s="254"/>
      <c r="J221" s="250"/>
      <c r="K221" s="249">
        <v>2.54</v>
      </c>
      <c r="L221" s="249">
        <v>6.61</v>
      </c>
      <c r="M221" s="249">
        <v>7.85</v>
      </c>
      <c r="N221" s="249">
        <v>6.61</v>
      </c>
      <c r="O221" s="249">
        <v>7.01</v>
      </c>
      <c r="P221" s="251">
        <f>IFERROR(N221/L221*100,"")</f>
        <v>100</v>
      </c>
      <c r="Q221" s="251">
        <f>IFERROR(N221/K221*100,"")</f>
        <v>260.23622047244095</v>
      </c>
      <c r="R221" s="251">
        <f>IFERROR(O221/N221*100,"")</f>
        <v>106.05143721633887</v>
      </c>
    </row>
    <row r="222" spans="1:18" ht="30" hidden="1" x14ac:dyDescent="0.2">
      <c r="A222" s="271">
        <v>4</v>
      </c>
      <c r="B222" s="272" t="s">
        <v>354</v>
      </c>
      <c r="C222" s="271" t="s">
        <v>6</v>
      </c>
      <c r="D222" s="254"/>
      <c r="E222" s="254"/>
      <c r="F222" s="254"/>
      <c r="G222" s="254"/>
      <c r="H222" s="254"/>
      <c r="I222" s="254"/>
      <c r="J222" s="250"/>
      <c r="K222" s="249">
        <v>36.9</v>
      </c>
      <c r="L222" s="249">
        <f t="shared" ref="L222:M222" si="77">L223*0.71+L224*0.25</f>
        <v>38.51</v>
      </c>
      <c r="M222" s="249">
        <f t="shared" si="77"/>
        <v>38.51</v>
      </c>
      <c r="N222" s="249">
        <f>N223*0.71+N224*0.25</f>
        <v>37.76</v>
      </c>
      <c r="O222" s="249">
        <f>O223*0.71+O224*0.25</f>
        <v>38.97</v>
      </c>
      <c r="P222" s="251">
        <f>IFERROR(N222/L222*100,"")</f>
        <v>98.052453908075819</v>
      </c>
      <c r="Q222" s="251">
        <f>IFERROR(N222/K222*100,"")</f>
        <v>102.33062330623306</v>
      </c>
      <c r="R222" s="251">
        <f>IFERROR(O222/N222*100,"")</f>
        <v>103.20444915254237</v>
      </c>
    </row>
    <row r="223" spans="1:18" ht="15" hidden="1" x14ac:dyDescent="0.2">
      <c r="A223" s="271"/>
      <c r="B223" s="276" t="s">
        <v>46</v>
      </c>
      <c r="C223" s="271" t="s">
        <v>6</v>
      </c>
      <c r="D223" s="254"/>
      <c r="E223" s="254"/>
      <c r="F223" s="254"/>
      <c r="G223" s="254"/>
      <c r="H223" s="254"/>
      <c r="I223" s="254"/>
      <c r="J223" s="250"/>
      <c r="K223" s="250">
        <v>30</v>
      </c>
      <c r="L223" s="250">
        <v>31</v>
      </c>
      <c r="M223" s="250">
        <v>31</v>
      </c>
      <c r="N223" s="250">
        <v>31</v>
      </c>
      <c r="O223" s="250">
        <v>32</v>
      </c>
      <c r="P223" s="251">
        <f t="shared" si="69"/>
        <v>100</v>
      </c>
      <c r="Q223" s="251">
        <f t="shared" si="70"/>
        <v>103.33333333333334</v>
      </c>
      <c r="R223" s="251">
        <f t="shared" si="71"/>
        <v>103.2258064516129</v>
      </c>
    </row>
    <row r="224" spans="1:18" ht="15" hidden="1" x14ac:dyDescent="0.2">
      <c r="A224" s="271"/>
      <c r="B224" s="276" t="s">
        <v>47</v>
      </c>
      <c r="C224" s="271" t="s">
        <v>6</v>
      </c>
      <c r="D224" s="254"/>
      <c r="E224" s="254"/>
      <c r="F224" s="254"/>
      <c r="G224" s="254"/>
      <c r="H224" s="254"/>
      <c r="I224" s="254"/>
      <c r="J224" s="250"/>
      <c r="K224" s="250">
        <v>65</v>
      </c>
      <c r="L224" s="250">
        <v>66</v>
      </c>
      <c r="M224" s="250">
        <v>66</v>
      </c>
      <c r="N224" s="250">
        <v>63</v>
      </c>
      <c r="O224" s="250">
        <v>65</v>
      </c>
      <c r="P224" s="251">
        <f t="shared" si="69"/>
        <v>95.454545454545453</v>
      </c>
      <c r="Q224" s="251">
        <f t="shared" si="70"/>
        <v>96.92307692307692</v>
      </c>
      <c r="R224" s="251">
        <f t="shared" si="71"/>
        <v>103.17460317460319</v>
      </c>
    </row>
    <row r="225" spans="1:18" ht="15" hidden="1" x14ac:dyDescent="0.2">
      <c r="A225" s="271"/>
      <c r="B225" s="276" t="s">
        <v>52</v>
      </c>
      <c r="C225" s="271" t="s">
        <v>6</v>
      </c>
      <c r="D225" s="254"/>
      <c r="E225" s="254"/>
      <c r="F225" s="254"/>
      <c r="G225" s="254"/>
      <c r="H225" s="254"/>
      <c r="I225" s="254"/>
      <c r="J225" s="250"/>
      <c r="K225" s="250"/>
      <c r="L225" s="250"/>
      <c r="M225" s="250"/>
      <c r="N225" s="250"/>
      <c r="O225" s="250"/>
      <c r="P225" s="251" t="str">
        <f t="shared" si="69"/>
        <v/>
      </c>
      <c r="Q225" s="251" t="str">
        <f t="shared" si="70"/>
        <v/>
      </c>
      <c r="R225" s="251" t="str">
        <f t="shared" si="71"/>
        <v/>
      </c>
    </row>
    <row r="226" spans="1:18" ht="30" hidden="1" x14ac:dyDescent="0.2">
      <c r="A226" s="271">
        <v>5</v>
      </c>
      <c r="B226" s="272" t="s">
        <v>355</v>
      </c>
      <c r="C226" s="271" t="s">
        <v>6</v>
      </c>
      <c r="D226" s="254"/>
      <c r="E226" s="254"/>
      <c r="F226" s="254"/>
      <c r="G226" s="254"/>
      <c r="H226" s="254"/>
      <c r="I226" s="254"/>
      <c r="J226" s="250"/>
      <c r="K226" s="251">
        <v>30</v>
      </c>
      <c r="L226" s="251">
        <v>31</v>
      </c>
      <c r="M226" s="251">
        <v>31</v>
      </c>
      <c r="N226" s="251">
        <v>31</v>
      </c>
      <c r="O226" s="251">
        <v>32</v>
      </c>
      <c r="P226" s="274">
        <f t="shared" si="69"/>
        <v>100</v>
      </c>
      <c r="Q226" s="274">
        <f t="shared" si="70"/>
        <v>103.33333333333334</v>
      </c>
      <c r="R226" s="274">
        <f t="shared" si="71"/>
        <v>103.2258064516129</v>
      </c>
    </row>
    <row r="227" spans="1:18" ht="30" hidden="1" x14ac:dyDescent="0.2">
      <c r="A227" s="271">
        <v>6</v>
      </c>
      <c r="B227" s="272" t="s">
        <v>356</v>
      </c>
      <c r="C227" s="271" t="s">
        <v>6</v>
      </c>
      <c r="D227" s="254"/>
      <c r="E227" s="254"/>
      <c r="F227" s="254"/>
      <c r="G227" s="254"/>
      <c r="H227" s="254"/>
      <c r="I227" s="254"/>
      <c r="J227" s="250"/>
      <c r="K227" s="250"/>
      <c r="L227" s="250"/>
      <c r="M227" s="250"/>
      <c r="N227" s="250"/>
      <c r="O227" s="250"/>
      <c r="P227" s="251" t="str">
        <f t="shared" si="69"/>
        <v/>
      </c>
      <c r="Q227" s="251" t="str">
        <f t="shared" si="70"/>
        <v/>
      </c>
      <c r="R227" s="251" t="str">
        <f t="shared" si="71"/>
        <v/>
      </c>
    </row>
    <row r="228" spans="1:18" ht="30" hidden="1" x14ac:dyDescent="0.2">
      <c r="A228" s="271">
        <v>6</v>
      </c>
      <c r="B228" s="272" t="s">
        <v>357</v>
      </c>
      <c r="C228" s="271" t="s">
        <v>6</v>
      </c>
      <c r="D228" s="254"/>
      <c r="E228" s="254"/>
      <c r="F228" s="254"/>
      <c r="G228" s="254"/>
      <c r="H228" s="254"/>
      <c r="I228" s="254"/>
      <c r="J228" s="250"/>
      <c r="K228" s="250">
        <v>60</v>
      </c>
      <c r="L228" s="250">
        <v>70</v>
      </c>
      <c r="M228" s="250">
        <v>65</v>
      </c>
      <c r="N228" s="250">
        <v>70</v>
      </c>
      <c r="O228" s="250">
        <v>75</v>
      </c>
      <c r="P228" s="251">
        <f t="shared" si="69"/>
        <v>100</v>
      </c>
      <c r="Q228" s="251">
        <f t="shared" si="70"/>
        <v>116.66666666666667</v>
      </c>
      <c r="R228" s="251">
        <f t="shared" si="71"/>
        <v>107.14285714285714</v>
      </c>
    </row>
    <row r="229" spans="1:18" ht="45" hidden="1" x14ac:dyDescent="0.2">
      <c r="A229" s="281">
        <v>8</v>
      </c>
      <c r="B229" s="282" t="s">
        <v>358</v>
      </c>
      <c r="C229" s="281" t="s">
        <v>6</v>
      </c>
      <c r="D229" s="283">
        <f>D10/D8*100</f>
        <v>13.640497120339498</v>
      </c>
      <c r="E229" s="283">
        <f>E10/E8*100</f>
        <v>13.842880886683126</v>
      </c>
      <c r="F229" s="283">
        <f>F10/F8*100</f>
        <v>13.974623825441768</v>
      </c>
      <c r="G229" s="283">
        <f>G10/G8*100</f>
        <v>14.536514621741894</v>
      </c>
      <c r="H229" s="283">
        <f>H10/H8*100</f>
        <v>15.526354213447682</v>
      </c>
      <c r="I229" s="283">
        <v>16.584756422709919</v>
      </c>
      <c r="J229" s="283"/>
      <c r="K229" s="283"/>
      <c r="L229" s="283"/>
      <c r="M229" s="283"/>
      <c r="N229" s="283"/>
      <c r="O229" s="283"/>
      <c r="P229" s="284" t="str">
        <f t="shared" si="69"/>
        <v/>
      </c>
      <c r="Q229" s="284" t="str">
        <f t="shared" si="70"/>
        <v/>
      </c>
      <c r="R229" s="284" t="str">
        <f t="shared" si="71"/>
        <v/>
      </c>
    </row>
    <row r="230" spans="1:18" x14ac:dyDescent="0.2">
      <c r="N230" s="132"/>
    </row>
    <row r="231" spans="1:18" x14ac:dyDescent="0.2">
      <c r="N231" s="132"/>
    </row>
    <row r="232" spans="1:18" x14ac:dyDescent="0.2">
      <c r="N232" s="132"/>
    </row>
  </sheetData>
  <mergeCells count="17">
    <mergeCell ref="A1:R1"/>
    <mergeCell ref="A2:R2"/>
    <mergeCell ref="A5:A6"/>
    <mergeCell ref="B5:B6"/>
    <mergeCell ref="C5:C6"/>
    <mergeCell ref="D5:D6"/>
    <mergeCell ref="E5:E6"/>
    <mergeCell ref="F5:F6"/>
    <mergeCell ref="G5:G6"/>
    <mergeCell ref="P5:R5"/>
    <mergeCell ref="H5:H6"/>
    <mergeCell ref="I5:I6"/>
    <mergeCell ref="J5:J6"/>
    <mergeCell ref="K5:K6"/>
    <mergeCell ref="O5:O6"/>
    <mergeCell ref="L5:N5"/>
    <mergeCell ref="A3:R3"/>
  </mergeCells>
  <phoneticPr fontId="6" type="noConversion"/>
  <pageMargins left="0.70866141732283472" right="0.39370078740157483" top="0.74803149606299213" bottom="0.39370078740157483" header="0.43307086614173229" footer="0.31496062992125984"/>
  <pageSetup scale="79" fitToHeight="0" orientation="portrait" r:id="rId1"/>
  <headerFooter differentFirst="1">
    <oddHeader>&amp;CTrang &amp;P</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97928-5203-41B4-AB59-F65A64977D53}">
  <sheetPr codeName="Sheet5"/>
  <dimension ref="A1:AB94"/>
  <sheetViews>
    <sheetView topLeftCell="R1" zoomScaleNormal="100" workbookViewId="0">
      <selection activeCell="V20" sqref="V20"/>
    </sheetView>
  </sheetViews>
  <sheetFormatPr defaultRowHeight="12.75" x14ac:dyDescent="0.2"/>
  <cols>
    <col min="1" max="1" width="5" customWidth="1"/>
    <col min="2" max="2" width="50.28515625" customWidth="1"/>
    <col min="3" max="5" width="13" customWidth="1"/>
    <col min="6" max="6" width="15.42578125" customWidth="1"/>
    <col min="7" max="7" width="15" customWidth="1"/>
    <col min="8" max="8" width="17" customWidth="1"/>
    <col min="9" max="9" width="11.7109375" customWidth="1"/>
    <col min="15" max="15" width="46.140625" customWidth="1"/>
    <col min="16" max="17" width="14.28515625" bestFit="1" customWidth="1"/>
    <col min="18" max="20" width="16.140625" bestFit="1" customWidth="1"/>
    <col min="21" max="21" width="17.7109375" customWidth="1"/>
    <col min="22" max="22" width="16" customWidth="1"/>
    <col min="23" max="25" width="15.85546875" customWidth="1"/>
    <col min="28" max="28" width="22" customWidth="1"/>
  </cols>
  <sheetData>
    <row r="1" spans="1:28" ht="19.5" customHeight="1" x14ac:dyDescent="0.2">
      <c r="A1" s="307" t="s">
        <v>28</v>
      </c>
      <c r="B1" s="307" t="s">
        <v>35</v>
      </c>
      <c r="C1" s="307" t="s">
        <v>112</v>
      </c>
      <c r="D1" s="307"/>
      <c r="E1" s="307"/>
      <c r="F1" s="308" t="s">
        <v>262</v>
      </c>
      <c r="G1" s="308" t="s">
        <v>263</v>
      </c>
      <c r="H1" s="308"/>
      <c r="I1" s="308"/>
      <c r="O1" s="306" t="s">
        <v>308</v>
      </c>
      <c r="P1" s="306"/>
      <c r="Q1" s="306"/>
      <c r="R1" s="306"/>
      <c r="S1" s="306"/>
      <c r="T1" s="306"/>
      <c r="U1" s="306"/>
      <c r="V1" s="306"/>
      <c r="W1" s="306"/>
      <c r="X1" s="306"/>
      <c r="Y1" s="306"/>
    </row>
    <row r="2" spans="1:28" ht="24.75" customHeight="1" x14ac:dyDescent="0.2">
      <c r="A2" s="307"/>
      <c r="B2" s="307"/>
      <c r="C2" s="39" t="s">
        <v>258</v>
      </c>
      <c r="D2" s="39" t="s">
        <v>42</v>
      </c>
      <c r="E2" s="39" t="s">
        <v>261</v>
      </c>
      <c r="F2" s="308"/>
      <c r="G2" s="67" t="s">
        <v>259</v>
      </c>
      <c r="H2" s="67" t="s">
        <v>260</v>
      </c>
      <c r="I2" s="67" t="s">
        <v>264</v>
      </c>
      <c r="O2" s="103"/>
      <c r="P2" s="104">
        <v>2015</v>
      </c>
      <c r="Q2" s="104">
        <v>2016</v>
      </c>
      <c r="R2" s="104">
        <v>2017</v>
      </c>
      <c r="S2" s="104">
        <v>2018</v>
      </c>
      <c r="T2" s="104">
        <v>2019</v>
      </c>
      <c r="U2" s="104">
        <v>2020</v>
      </c>
      <c r="V2" s="104" t="s">
        <v>42</v>
      </c>
      <c r="W2" s="104" t="s">
        <v>293</v>
      </c>
      <c r="X2" s="104" t="s">
        <v>306</v>
      </c>
      <c r="Y2" s="104" t="s">
        <v>307</v>
      </c>
      <c r="AA2" s="99"/>
      <c r="AB2" s="66" t="s">
        <v>311</v>
      </c>
    </row>
    <row r="3" spans="1:28" ht="14.25" x14ac:dyDescent="0.2">
      <c r="A3" s="65"/>
      <c r="B3" s="65"/>
      <c r="C3" s="68"/>
      <c r="D3" s="68"/>
      <c r="E3" s="68"/>
      <c r="F3" s="65"/>
      <c r="G3" s="65"/>
      <c r="H3" s="65"/>
      <c r="I3" s="65"/>
      <c r="O3" s="103" t="s">
        <v>294</v>
      </c>
      <c r="P3" s="96"/>
      <c r="Q3" s="96"/>
      <c r="R3" s="96">
        <f>'PL.2 TH (chi tiet)'!F9</f>
        <v>19753350</v>
      </c>
      <c r="S3" s="96">
        <f>'PL.2 TH (chi tiet)'!G9</f>
        <v>19750360</v>
      </c>
      <c r="T3" s="96">
        <f>'PL.2 TH (chi tiet)'!H9</f>
        <v>19569150</v>
      </c>
      <c r="U3" s="96">
        <f>'PL.2 TH (chi tiet)'!I9</f>
        <v>19492195</v>
      </c>
      <c r="V3" s="96">
        <f>'PL.2 TH (chi tiet)'!K9</f>
        <v>20296147.393677887</v>
      </c>
      <c r="W3" s="96">
        <f>'PL.2 TH (chi tiet)'!M9</f>
        <v>20296147.393677887</v>
      </c>
      <c r="X3" s="96"/>
      <c r="Y3" s="96"/>
      <c r="AA3" s="100"/>
      <c r="AB3" s="66" t="s">
        <v>309</v>
      </c>
    </row>
    <row r="4" spans="1:28" ht="15" x14ac:dyDescent="0.25">
      <c r="A4" s="40" t="s">
        <v>3</v>
      </c>
      <c r="B4" s="40" t="s">
        <v>208</v>
      </c>
      <c r="C4" s="41"/>
      <c r="D4" s="41"/>
      <c r="E4" s="41"/>
      <c r="F4" s="40"/>
      <c r="G4" s="40">
        <f>G6+G7+G9+G10+G11+G13+G14+G16+G17+G18+G19+G20+G32+G37+G40+G41+G42+G43+G44+G56+G57</f>
        <v>18911277.99597761</v>
      </c>
      <c r="H4" s="40">
        <f>H6+H7+H9+H10+H11+H13+H14+H16+H17+H18+H19+H20+H32+H37+H40+H41+H42+H43+H44+H56+H57</f>
        <v>20296147.393677887</v>
      </c>
      <c r="I4" s="40">
        <f>I6+I7+I9+I10+I11+I13+I14+I16+I17+I18+I19+I20+I32+I37+I40+I41+I42+I43+I44+I56+I57</f>
        <v>10825795.969423238</v>
      </c>
      <c r="O4" s="108" t="s">
        <v>295</v>
      </c>
      <c r="P4" s="109">
        <v>21174691</v>
      </c>
      <c r="Q4" s="109">
        <v>21362856</v>
      </c>
      <c r="R4" s="109">
        <v>23358820</v>
      </c>
      <c r="S4" s="109">
        <v>22842824</v>
      </c>
      <c r="T4" s="109">
        <v>23427256.059999999</v>
      </c>
      <c r="U4" s="109">
        <v>24452777.859999999</v>
      </c>
      <c r="V4" s="110">
        <f>V3*V7</f>
        <v>25979073.534983069</v>
      </c>
      <c r="W4" s="110">
        <f>W3*W7</f>
        <v>26386052.587321736</v>
      </c>
      <c r="X4" s="110"/>
      <c r="Y4" s="110"/>
      <c r="AA4" s="101"/>
      <c r="AB4" s="66" t="s">
        <v>310</v>
      </c>
    </row>
    <row r="5" spans="1:28" ht="15" x14ac:dyDescent="0.25">
      <c r="A5" s="31" t="s">
        <v>60</v>
      </c>
      <c r="B5" s="32" t="s">
        <v>61</v>
      </c>
      <c r="C5" s="42"/>
      <c r="D5" s="42"/>
      <c r="E5" s="42"/>
      <c r="F5" s="42"/>
      <c r="G5" s="42"/>
      <c r="H5" s="42"/>
      <c r="I5" s="42"/>
      <c r="O5" s="103" t="s">
        <v>296</v>
      </c>
      <c r="P5" s="97">
        <f>'PL.2 TH (chi tiet)'!D22</f>
        <v>382247</v>
      </c>
      <c r="Q5" s="97">
        <f>'PL.2 TH (chi tiet)'!E22</f>
        <v>385124.2</v>
      </c>
      <c r="R5" s="97">
        <f>'PL.2 TH (chi tiet)'!F22</f>
        <v>387487.125</v>
      </c>
      <c r="S5" s="97">
        <f>'PL.2 TH (chi tiet)'!G22</f>
        <v>384393</v>
      </c>
      <c r="T5" s="97">
        <f>'PL.2 TH (chi tiet)'!H22</f>
        <v>377699.1</v>
      </c>
      <c r="U5" s="97">
        <f>'PL.2 TH (chi tiet)'!I22</f>
        <v>384640.44</v>
      </c>
      <c r="V5" s="97">
        <f>'PL.2 TH (chi tiet)'!K22</f>
        <v>389089.46599999996</v>
      </c>
      <c r="W5" s="97">
        <f>'PL.2 TH (chi tiet)'!M22</f>
        <v>301457.55</v>
      </c>
      <c r="X5" s="97"/>
      <c r="Y5" s="97"/>
    </row>
    <row r="6" spans="1:28" ht="15" x14ac:dyDescent="0.25">
      <c r="A6" s="44"/>
      <c r="B6" s="45" t="s">
        <v>209</v>
      </c>
      <c r="C6" s="46">
        <f>'PL.2 TH (chi tiet)'!J27</f>
        <v>804254.10000000009</v>
      </c>
      <c r="D6" s="46">
        <f>'PL.2 TH (chi tiet)'!K27</f>
        <v>808773.44</v>
      </c>
      <c r="E6" s="46">
        <f>'PL.2 TH (chi tiet)'!M27</f>
        <v>522519.1</v>
      </c>
      <c r="F6" s="47">
        <v>4.6020000000000003</v>
      </c>
      <c r="G6" s="46">
        <f>C6*$F6</f>
        <v>3701177.3682000008</v>
      </c>
      <c r="H6" s="46">
        <f t="shared" ref="H6:I21" si="0">D6*$F6</f>
        <v>3721975.3708799998</v>
      </c>
      <c r="I6" s="46">
        <f t="shared" si="0"/>
        <v>2404632.8982000002</v>
      </c>
      <c r="O6" s="108" t="s">
        <v>297</v>
      </c>
      <c r="P6" s="109">
        <v>243594</v>
      </c>
      <c r="Q6" s="109">
        <v>247156</v>
      </c>
      <c r="R6" s="109">
        <v>248892</v>
      </c>
      <c r="S6" s="109">
        <v>243837</v>
      </c>
      <c r="T6" s="110">
        <f>T5/T8</f>
        <v>239921.39056079162</v>
      </c>
      <c r="U6" s="110">
        <f>U5/U8</f>
        <v>243928.01760696218</v>
      </c>
      <c r="V6" s="110">
        <f>V5/V8</f>
        <v>246343.50687677029</v>
      </c>
      <c r="W6" s="110">
        <f>W5/W8</f>
        <v>191151.90302936867</v>
      </c>
      <c r="X6" s="102"/>
      <c r="Y6" s="102"/>
    </row>
    <row r="7" spans="1:28" ht="15" x14ac:dyDescent="0.25">
      <c r="A7" s="34"/>
      <c r="B7" s="35" t="s">
        <v>210</v>
      </c>
      <c r="C7" s="42">
        <f>'PL.2 TH (chi tiet)'!J30</f>
        <v>29000</v>
      </c>
      <c r="D7" s="42">
        <f>'PL.2 TH (chi tiet)'!K30</f>
        <v>30227.704864338612</v>
      </c>
      <c r="E7" s="42">
        <f>'PL.2 TH (chi tiet)'!M30</f>
        <v>23640.6</v>
      </c>
      <c r="F7" s="43">
        <v>4.75</v>
      </c>
      <c r="G7" s="42">
        <f t="shared" ref="G7:G43" si="1">C7*$F7</f>
        <v>137750</v>
      </c>
      <c r="H7" s="42">
        <f t="shared" si="0"/>
        <v>143581.5981056084</v>
      </c>
      <c r="I7" s="42">
        <f t="shared" si="0"/>
        <v>112292.84999999999</v>
      </c>
      <c r="O7" s="103" t="s">
        <v>298</v>
      </c>
      <c r="P7" s="103"/>
      <c r="Q7" s="103"/>
      <c r="R7" s="103">
        <v>1.1825244831889274</v>
      </c>
      <c r="S7" s="103">
        <v>1.1565776016234641</v>
      </c>
      <c r="T7" s="103">
        <v>1.1971524598666778</v>
      </c>
      <c r="U7" s="103">
        <v>1.2544907261598808</v>
      </c>
      <c r="V7" s="105">
        <v>1.2800002399999999</v>
      </c>
      <c r="W7" s="105">
        <v>1.3000522747258336</v>
      </c>
      <c r="X7" s="105"/>
      <c r="Y7" s="105"/>
    </row>
    <row r="8" spans="1:28" ht="15" x14ac:dyDescent="0.25">
      <c r="A8" s="31" t="s">
        <v>68</v>
      </c>
      <c r="B8" s="32" t="s">
        <v>69</v>
      </c>
      <c r="C8" s="42"/>
      <c r="D8" s="42"/>
      <c r="E8" s="42"/>
      <c r="F8" s="43"/>
      <c r="G8" s="42"/>
      <c r="H8" s="42"/>
      <c r="I8" s="42"/>
      <c r="O8" s="103" t="s">
        <v>304</v>
      </c>
      <c r="P8" s="103">
        <v>1.5691971066610837</v>
      </c>
      <c r="Q8" s="103">
        <v>1.5582231465147518</v>
      </c>
      <c r="R8" s="103">
        <v>1.5568484523407744</v>
      </c>
      <c r="S8" s="103">
        <v>1.5764342573112367</v>
      </c>
      <c r="T8" s="105">
        <v>1.5742618826823531</v>
      </c>
      <c r="U8" s="105">
        <v>1.5768604351951312</v>
      </c>
      <c r="V8" s="105">
        <v>1.579458987707909</v>
      </c>
      <c r="W8" s="105">
        <v>1.5770575402206899</v>
      </c>
      <c r="X8" s="105"/>
      <c r="Y8" s="105"/>
    </row>
    <row r="9" spans="1:28" ht="15" x14ac:dyDescent="0.25">
      <c r="A9" s="34"/>
      <c r="B9" s="35" t="s">
        <v>211</v>
      </c>
      <c r="C9" s="42">
        <f>'PL.2 TH (chi tiet)'!J34</f>
        <v>375.95</v>
      </c>
      <c r="D9" s="42">
        <f>'PL.2 TH (chi tiet)'!K34</f>
        <v>13.76</v>
      </c>
      <c r="E9" s="42">
        <f>'PL.2 TH (chi tiet)'!M34</f>
        <v>96.6</v>
      </c>
      <c r="F9" s="43">
        <v>3.1019999999999999</v>
      </c>
      <c r="G9" s="42">
        <f t="shared" si="1"/>
        <v>1166.1968999999999</v>
      </c>
      <c r="H9" s="42">
        <f t="shared" si="0"/>
        <v>42.683519999999994</v>
      </c>
      <c r="I9" s="42">
        <f t="shared" si="0"/>
        <v>299.65319999999997</v>
      </c>
      <c r="O9" s="106" t="s">
        <v>305</v>
      </c>
      <c r="P9" s="107">
        <f>P4/P6</f>
        <v>86.926159921837154</v>
      </c>
      <c r="Q9" s="107">
        <f t="shared" ref="Q9:W9" si="2">Q4/Q6</f>
        <v>86.434705206428333</v>
      </c>
      <c r="R9" s="107">
        <f t="shared" si="2"/>
        <v>93.851228645356215</v>
      </c>
      <c r="S9" s="107">
        <f t="shared" si="2"/>
        <v>93.680712935280539</v>
      </c>
      <c r="T9" s="107">
        <f t="shared" si="2"/>
        <v>97.645549674587969</v>
      </c>
      <c r="U9" s="107">
        <f t="shared" si="2"/>
        <v>100.24587622156804</v>
      </c>
      <c r="V9" s="107">
        <f t="shared" si="2"/>
        <v>105.45873063331325</v>
      </c>
      <c r="W9" s="107">
        <f t="shared" si="2"/>
        <v>138.03709075952946</v>
      </c>
      <c r="X9" s="107"/>
      <c r="Y9" s="107"/>
    </row>
    <row r="10" spans="1:28" ht="15" x14ac:dyDescent="0.25">
      <c r="A10" s="44"/>
      <c r="B10" s="45" t="s">
        <v>212</v>
      </c>
      <c r="C10" s="46">
        <f>'PL.2 TH (chi tiet)'!J37</f>
        <v>1947037.8500000003</v>
      </c>
      <c r="D10" s="46">
        <f>'PL.2 TH (chi tiet)'!K37</f>
        <v>2024553.7164634143</v>
      </c>
      <c r="E10" s="46">
        <f>'PL.2 TH (chi tiet)'!M37</f>
        <v>1576480</v>
      </c>
      <c r="F10" s="47">
        <v>0.94299999999999995</v>
      </c>
      <c r="G10" s="46">
        <f t="shared" si="1"/>
        <v>1836056.6925500003</v>
      </c>
      <c r="H10" s="46">
        <f t="shared" si="0"/>
        <v>1909154.1546249995</v>
      </c>
      <c r="I10" s="46">
        <f t="shared" si="0"/>
        <v>1486620.64</v>
      </c>
    </row>
    <row r="11" spans="1:28" ht="15" x14ac:dyDescent="0.25">
      <c r="A11" s="34"/>
      <c r="B11" s="35" t="s">
        <v>213</v>
      </c>
      <c r="C11" s="42">
        <f>'PL.2 TH (chi tiet)'!J40</f>
        <v>18531.976499999997</v>
      </c>
      <c r="D11" s="42">
        <f>'PL.2 TH (chi tiet)'!K40</f>
        <v>18533.245019999998</v>
      </c>
      <c r="E11" s="42">
        <f>'PL.2 TH (chi tiet)'!M40</f>
        <v>8445.2000000000007</v>
      </c>
      <c r="F11" s="43">
        <v>3.67</v>
      </c>
      <c r="G11" s="42">
        <f t="shared" si="1"/>
        <v>68012.353754999989</v>
      </c>
      <c r="H11" s="42">
        <f t="shared" si="0"/>
        <v>68017.009223399989</v>
      </c>
      <c r="I11" s="42">
        <f t="shared" si="0"/>
        <v>30993.884000000002</v>
      </c>
    </row>
    <row r="12" spans="1:28" ht="15" x14ac:dyDescent="0.25">
      <c r="A12" s="31" t="s">
        <v>75</v>
      </c>
      <c r="B12" s="32" t="s">
        <v>76</v>
      </c>
      <c r="C12" s="42"/>
      <c r="D12" s="42"/>
      <c r="E12" s="42"/>
      <c r="F12" s="50"/>
      <c r="G12" s="42"/>
      <c r="H12" s="42"/>
      <c r="I12" s="42"/>
    </row>
    <row r="13" spans="1:28" ht="15" x14ac:dyDescent="0.25">
      <c r="A13" s="44"/>
      <c r="B13" s="45" t="s">
        <v>214</v>
      </c>
      <c r="C13" s="46">
        <f>'PL.2 TH (chi tiet)'!J44</f>
        <v>353824.22532999993</v>
      </c>
      <c r="D13" s="46">
        <f>'PL.2 TH (chi tiet)'!K44</f>
        <v>357452.09464999998</v>
      </c>
      <c r="E13" s="46">
        <f>'PL.2 TH (chi tiet)'!M44</f>
        <v>245523.72000000003</v>
      </c>
      <c r="F13" s="47">
        <v>4.6260000000000003</v>
      </c>
      <c r="G13" s="46">
        <f t="shared" si="1"/>
        <v>1636790.8663765797</v>
      </c>
      <c r="H13" s="46">
        <f t="shared" si="0"/>
        <v>1653573.3898509</v>
      </c>
      <c r="I13" s="46">
        <f t="shared" si="0"/>
        <v>1135792.7287200002</v>
      </c>
      <c r="V13" s="98"/>
    </row>
    <row r="14" spans="1:28" ht="15" x14ac:dyDescent="0.25">
      <c r="A14" s="34"/>
      <c r="B14" s="35" t="s">
        <v>215</v>
      </c>
      <c r="C14" s="42">
        <f>'PL.2 TH (chi tiet)'!J47</f>
        <v>5215.51505</v>
      </c>
      <c r="D14" s="42">
        <f>'PL.2 TH (chi tiet)'!K47</f>
        <v>4243.7760199999993</v>
      </c>
      <c r="E14" s="42">
        <f>'PL.2 TH (chi tiet)'!M47</f>
        <v>4073.8120000000004</v>
      </c>
      <c r="F14" s="50">
        <v>22.157</v>
      </c>
      <c r="G14" s="42">
        <f t="shared" si="1"/>
        <v>115560.16696284999</v>
      </c>
      <c r="H14" s="42">
        <f t="shared" si="0"/>
        <v>94029.345275139989</v>
      </c>
      <c r="I14" s="42">
        <f t="shared" si="0"/>
        <v>90263.452484000009</v>
      </c>
    </row>
    <row r="15" spans="1:28" ht="15" x14ac:dyDescent="0.25">
      <c r="A15" s="31" t="s">
        <v>79</v>
      </c>
      <c r="B15" s="32" t="s">
        <v>80</v>
      </c>
      <c r="C15" s="42"/>
      <c r="D15" s="42"/>
      <c r="E15" s="42"/>
      <c r="F15" s="43"/>
      <c r="G15" s="42"/>
      <c r="H15" s="42"/>
      <c r="I15" s="42"/>
    </row>
    <row r="16" spans="1:28" ht="15" x14ac:dyDescent="0.25">
      <c r="A16" s="34"/>
      <c r="B16" s="35" t="s">
        <v>216</v>
      </c>
      <c r="C16" s="42">
        <f>'PL.2 TH (chi tiet)'!J51</f>
        <v>452453.61999999994</v>
      </c>
      <c r="D16" s="42">
        <f>'PL.2 TH (chi tiet)'!K51</f>
        <v>466820.08337155974</v>
      </c>
      <c r="E16" s="42">
        <f>'PL.2 TH (chi tiet)'!M51</f>
        <v>377874.64</v>
      </c>
      <c r="F16" s="43">
        <v>0.68700000000000006</v>
      </c>
      <c r="G16" s="42">
        <f t="shared" si="1"/>
        <v>310835.63694</v>
      </c>
      <c r="H16" s="42">
        <f t="shared" si="0"/>
        <v>320705.39727626159</v>
      </c>
      <c r="I16" s="42">
        <f t="shared" si="0"/>
        <v>259599.87768000003</v>
      </c>
    </row>
    <row r="17" spans="1:22" ht="15" x14ac:dyDescent="0.25">
      <c r="A17" s="34"/>
      <c r="B17" s="35" t="s">
        <v>217</v>
      </c>
      <c r="C17" s="42">
        <f>'PL.2 TH (chi tiet)'!J54</f>
        <v>13940.706399999999</v>
      </c>
      <c r="D17" s="42">
        <f>'PL.2 TH (chi tiet)'!K54</f>
        <v>12197.459839999996</v>
      </c>
      <c r="E17" s="42">
        <f>'PL.2 TH (chi tiet)'!M54</f>
        <v>8846</v>
      </c>
      <c r="F17" s="43">
        <v>13.89</v>
      </c>
      <c r="G17" s="42">
        <f t="shared" si="1"/>
        <v>193636.41189600001</v>
      </c>
      <c r="H17" s="42">
        <f t="shared" si="0"/>
        <v>169422.71717759996</v>
      </c>
      <c r="I17" s="42">
        <f t="shared" si="0"/>
        <v>122870.94</v>
      </c>
    </row>
    <row r="18" spans="1:22" ht="15" x14ac:dyDescent="0.25">
      <c r="A18" s="34"/>
      <c r="B18" s="35" t="s">
        <v>218</v>
      </c>
      <c r="C18" s="42">
        <f>'PL.2 TH (chi tiet)'!J57</f>
        <v>2194.3200000000002</v>
      </c>
      <c r="D18" s="42">
        <f>'PL.2 TH (chi tiet)'!K57</f>
        <v>2577.1100000000006</v>
      </c>
      <c r="E18" s="42">
        <f>'PL.2 TH (chi tiet)'!M57</f>
        <v>2438.2257170577354</v>
      </c>
      <c r="F18" s="43">
        <v>27.242999999999999</v>
      </c>
      <c r="G18" s="42">
        <f t="shared" si="1"/>
        <v>59779.859759999999</v>
      </c>
      <c r="H18" s="42">
        <f t="shared" si="0"/>
        <v>70208.207730000009</v>
      </c>
      <c r="I18" s="42">
        <f t="shared" si="0"/>
        <v>66424.583209803881</v>
      </c>
    </row>
    <row r="19" spans="1:22" ht="15" x14ac:dyDescent="0.25">
      <c r="A19" s="34"/>
      <c r="B19" s="35" t="s">
        <v>219</v>
      </c>
      <c r="C19" s="42">
        <f>'PL.2 TH (chi tiet)'!J60</f>
        <v>377.54959999999994</v>
      </c>
      <c r="D19" s="42">
        <f>'PL.2 TH (chi tiet)'!K60</f>
        <v>267.49919999999997</v>
      </c>
      <c r="E19" s="42">
        <f>'PL.2 TH (chi tiet)'!M60</f>
        <v>94.6</v>
      </c>
      <c r="F19" s="43">
        <v>23.297000000000001</v>
      </c>
      <c r="G19" s="42">
        <f t="shared" si="1"/>
        <v>8795.7730311999985</v>
      </c>
      <c r="H19" s="42">
        <f t="shared" si="0"/>
        <v>6231.9288623999992</v>
      </c>
      <c r="I19" s="42">
        <f t="shared" si="0"/>
        <v>2203.8962000000001</v>
      </c>
    </row>
    <row r="20" spans="1:22" ht="30" x14ac:dyDescent="0.25">
      <c r="A20" s="34"/>
      <c r="B20" s="35" t="s">
        <v>84</v>
      </c>
      <c r="C20" s="42">
        <f>'PL.2 TH (chi tiet)'!J62</f>
        <v>63280</v>
      </c>
      <c r="D20" s="42">
        <f>'PL.2 TH (chi tiet)'!K62</f>
        <v>73500</v>
      </c>
      <c r="E20" s="42">
        <f>'PL.2 TH (chi tiet)'!M62</f>
        <v>35000</v>
      </c>
      <c r="F20" s="43">
        <v>1.69</v>
      </c>
      <c r="G20" s="42">
        <f t="shared" si="1"/>
        <v>106943.2</v>
      </c>
      <c r="H20" s="42">
        <f t="shared" si="0"/>
        <v>124215</v>
      </c>
      <c r="I20" s="42">
        <f t="shared" si="0"/>
        <v>59150</v>
      </c>
      <c r="V20" s="127"/>
    </row>
    <row r="21" spans="1:22" ht="15" hidden="1" x14ac:dyDescent="0.25">
      <c r="A21" s="51"/>
      <c r="B21" s="52" t="s">
        <v>220</v>
      </c>
      <c r="C21" s="48"/>
      <c r="D21" s="48"/>
      <c r="E21" s="48"/>
      <c r="F21" s="49">
        <v>1.65</v>
      </c>
      <c r="G21" s="48">
        <f t="shared" si="1"/>
        <v>0</v>
      </c>
      <c r="H21" s="48">
        <f t="shared" si="0"/>
        <v>0</v>
      </c>
      <c r="I21" s="48">
        <f t="shared" si="0"/>
        <v>0</v>
      </c>
    </row>
    <row r="22" spans="1:22" ht="15" hidden="1" x14ac:dyDescent="0.25">
      <c r="A22" s="51"/>
      <c r="B22" s="52" t="s">
        <v>221</v>
      </c>
      <c r="C22" s="48"/>
      <c r="D22" s="48"/>
      <c r="E22" s="48"/>
      <c r="F22" s="49">
        <v>1.06</v>
      </c>
      <c r="G22" s="48">
        <f t="shared" si="1"/>
        <v>0</v>
      </c>
      <c r="H22" s="48">
        <f t="shared" ref="H22:H43" si="3">D22*$F22</f>
        <v>0</v>
      </c>
      <c r="I22" s="48">
        <f t="shared" ref="I22:I43" si="4">E22*$F22</f>
        <v>0</v>
      </c>
    </row>
    <row r="23" spans="1:22" ht="15" hidden="1" x14ac:dyDescent="0.25">
      <c r="A23" s="51"/>
      <c r="B23" s="52" t="s">
        <v>222</v>
      </c>
      <c r="C23" s="48"/>
      <c r="D23" s="48"/>
      <c r="E23" s="48"/>
      <c r="F23" s="49">
        <v>10.35</v>
      </c>
      <c r="G23" s="48">
        <f t="shared" si="1"/>
        <v>0</v>
      </c>
      <c r="H23" s="48">
        <f t="shared" si="3"/>
        <v>0</v>
      </c>
      <c r="I23" s="48">
        <f t="shared" si="4"/>
        <v>0</v>
      </c>
    </row>
    <row r="24" spans="1:22" ht="15" hidden="1" x14ac:dyDescent="0.25">
      <c r="A24" s="51"/>
      <c r="B24" s="52" t="s">
        <v>223</v>
      </c>
      <c r="C24" s="48"/>
      <c r="D24" s="48"/>
      <c r="E24" s="48"/>
      <c r="F24" s="49">
        <v>4.1550000000000002</v>
      </c>
      <c r="G24" s="48">
        <f t="shared" si="1"/>
        <v>0</v>
      </c>
      <c r="H24" s="48">
        <f t="shared" si="3"/>
        <v>0</v>
      </c>
      <c r="I24" s="48">
        <f t="shared" si="4"/>
        <v>0</v>
      </c>
    </row>
    <row r="25" spans="1:22" ht="15" hidden="1" x14ac:dyDescent="0.25">
      <c r="A25" s="51"/>
      <c r="B25" s="52" t="s">
        <v>224</v>
      </c>
      <c r="C25" s="48"/>
      <c r="D25" s="48"/>
      <c r="E25" s="48"/>
      <c r="F25" s="49">
        <v>0.6</v>
      </c>
      <c r="G25" s="48">
        <f t="shared" si="1"/>
        <v>0</v>
      </c>
      <c r="H25" s="48">
        <f t="shared" si="3"/>
        <v>0</v>
      </c>
      <c r="I25" s="48">
        <f t="shared" si="4"/>
        <v>0</v>
      </c>
    </row>
    <row r="26" spans="1:22" ht="15" hidden="1" x14ac:dyDescent="0.25">
      <c r="A26" s="51"/>
      <c r="B26" s="52" t="s">
        <v>225</v>
      </c>
      <c r="C26" s="48"/>
      <c r="D26" s="48"/>
      <c r="E26" s="48"/>
      <c r="F26" s="49">
        <v>0.5</v>
      </c>
      <c r="G26" s="48">
        <f t="shared" si="1"/>
        <v>0</v>
      </c>
      <c r="H26" s="48">
        <f t="shared" si="3"/>
        <v>0</v>
      </c>
      <c r="I26" s="48">
        <f t="shared" si="4"/>
        <v>0</v>
      </c>
    </row>
    <row r="27" spans="1:22" ht="15" hidden="1" x14ac:dyDescent="0.25">
      <c r="A27" s="51"/>
      <c r="B27" s="52" t="s">
        <v>226</v>
      </c>
      <c r="C27" s="48"/>
      <c r="D27" s="48"/>
      <c r="E27" s="48"/>
      <c r="F27" s="49">
        <v>0.1047</v>
      </c>
      <c r="G27" s="48">
        <f t="shared" si="1"/>
        <v>0</v>
      </c>
      <c r="H27" s="48">
        <f t="shared" si="3"/>
        <v>0</v>
      </c>
      <c r="I27" s="48">
        <f t="shared" si="4"/>
        <v>0</v>
      </c>
    </row>
    <row r="28" spans="1:22" ht="15" hidden="1" x14ac:dyDescent="0.25">
      <c r="A28" s="51"/>
      <c r="B28" s="52" t="s">
        <v>227</v>
      </c>
      <c r="C28" s="48"/>
      <c r="D28" s="48"/>
      <c r="E28" s="48"/>
      <c r="F28" s="49">
        <v>0.15</v>
      </c>
      <c r="G28" s="48">
        <f t="shared" si="1"/>
        <v>0</v>
      </c>
      <c r="H28" s="48">
        <f t="shared" si="3"/>
        <v>0</v>
      </c>
      <c r="I28" s="48">
        <f t="shared" si="4"/>
        <v>0</v>
      </c>
    </row>
    <row r="29" spans="1:22" ht="15" hidden="1" x14ac:dyDescent="0.25">
      <c r="A29" s="51"/>
      <c r="B29" s="52" t="s">
        <v>228</v>
      </c>
      <c r="C29" s="48"/>
      <c r="D29" s="48"/>
      <c r="E29" s="48"/>
      <c r="F29" s="49">
        <v>1.3233E-2</v>
      </c>
      <c r="G29" s="48">
        <f t="shared" si="1"/>
        <v>0</v>
      </c>
      <c r="H29" s="48">
        <f t="shared" si="3"/>
        <v>0</v>
      </c>
      <c r="I29" s="48">
        <f t="shared" si="4"/>
        <v>0</v>
      </c>
    </row>
    <row r="30" spans="1:22" ht="15" hidden="1" x14ac:dyDescent="0.25">
      <c r="A30" s="51"/>
      <c r="B30" s="52" t="s">
        <v>229</v>
      </c>
      <c r="C30" s="48"/>
      <c r="D30" s="48"/>
      <c r="E30" s="48"/>
      <c r="F30" s="49">
        <v>8.2209999999999991E-3</v>
      </c>
      <c r="G30" s="48">
        <f t="shared" si="1"/>
        <v>0</v>
      </c>
      <c r="H30" s="48">
        <f t="shared" si="3"/>
        <v>0</v>
      </c>
      <c r="I30" s="48">
        <f t="shared" si="4"/>
        <v>0</v>
      </c>
    </row>
    <row r="31" spans="1:22" ht="15" hidden="1" x14ac:dyDescent="0.25">
      <c r="A31" s="51"/>
      <c r="B31" s="52" t="s">
        <v>230</v>
      </c>
      <c r="C31" s="48"/>
      <c r="D31" s="48"/>
      <c r="E31" s="48"/>
      <c r="F31" s="49">
        <v>9.4999999999999998E-3</v>
      </c>
      <c r="G31" s="48">
        <f t="shared" si="1"/>
        <v>0</v>
      </c>
      <c r="H31" s="48">
        <f t="shared" si="3"/>
        <v>0</v>
      </c>
      <c r="I31" s="48">
        <f t="shared" si="4"/>
        <v>0</v>
      </c>
    </row>
    <row r="32" spans="1:22" ht="30" x14ac:dyDescent="0.25">
      <c r="A32" s="31" t="s">
        <v>86</v>
      </c>
      <c r="B32" s="32" t="s">
        <v>87</v>
      </c>
      <c r="C32" s="42">
        <f>'PL.2 TH (chi tiet)'!J64</f>
        <v>255000</v>
      </c>
      <c r="D32" s="42">
        <f>'PL.2 TH (chi tiet)'!K64</f>
        <v>780764.8714699999</v>
      </c>
      <c r="E32" s="42">
        <f>'PL.2 TH (chi tiet)'!M64</f>
        <v>458372.34769646957</v>
      </c>
      <c r="F32" s="43">
        <v>1.74</v>
      </c>
      <c r="G32" s="42">
        <f t="shared" si="1"/>
        <v>443700</v>
      </c>
      <c r="H32" s="42">
        <f t="shared" si="3"/>
        <v>1358530.8763577999</v>
      </c>
      <c r="I32" s="42">
        <f t="shared" si="4"/>
        <v>797567.88499185711</v>
      </c>
    </row>
    <row r="33" spans="1:9" ht="15" hidden="1" x14ac:dyDescent="0.25">
      <c r="A33" s="31"/>
      <c r="B33" s="52" t="s">
        <v>231</v>
      </c>
      <c r="C33" s="48"/>
      <c r="D33" s="48"/>
      <c r="E33" s="48"/>
      <c r="F33" s="49"/>
      <c r="G33" s="48">
        <f t="shared" si="1"/>
        <v>0</v>
      </c>
      <c r="H33" s="48">
        <f t="shared" si="3"/>
        <v>0</v>
      </c>
      <c r="I33" s="48">
        <f t="shared" si="4"/>
        <v>0</v>
      </c>
    </row>
    <row r="34" spans="1:9" ht="15" hidden="1" x14ac:dyDescent="0.25">
      <c r="A34" s="31"/>
      <c r="B34" s="52" t="s">
        <v>232</v>
      </c>
      <c r="C34" s="48"/>
      <c r="D34" s="48"/>
      <c r="E34" s="48"/>
      <c r="F34" s="49"/>
      <c r="G34" s="48">
        <f t="shared" si="1"/>
        <v>0</v>
      </c>
      <c r="H34" s="48">
        <f t="shared" si="3"/>
        <v>0</v>
      </c>
      <c r="I34" s="48">
        <f t="shared" si="4"/>
        <v>0</v>
      </c>
    </row>
    <row r="35" spans="1:9" ht="15" hidden="1" x14ac:dyDescent="0.25">
      <c r="A35" s="31"/>
      <c r="B35" s="52" t="s">
        <v>233</v>
      </c>
      <c r="C35" s="48"/>
      <c r="D35" s="48"/>
      <c r="E35" s="48"/>
      <c r="F35" s="49"/>
      <c r="G35" s="48">
        <f t="shared" si="1"/>
        <v>0</v>
      </c>
      <c r="H35" s="48">
        <f t="shared" si="3"/>
        <v>0</v>
      </c>
      <c r="I35" s="48">
        <f t="shared" si="4"/>
        <v>0</v>
      </c>
    </row>
    <row r="36" spans="1:9" ht="15" hidden="1" x14ac:dyDescent="0.25">
      <c r="A36" s="31"/>
      <c r="B36" s="52" t="s">
        <v>234</v>
      </c>
      <c r="C36" s="48"/>
      <c r="D36" s="48"/>
      <c r="E36" s="48"/>
      <c r="F36" s="49"/>
      <c r="G36" s="48">
        <f t="shared" si="1"/>
        <v>0</v>
      </c>
      <c r="H36" s="48">
        <f t="shared" si="3"/>
        <v>0</v>
      </c>
      <c r="I36" s="48">
        <f t="shared" si="4"/>
        <v>0</v>
      </c>
    </row>
    <row r="37" spans="1:9" ht="15" x14ac:dyDescent="0.25">
      <c r="A37" s="31" t="s">
        <v>88</v>
      </c>
      <c r="B37" s="32" t="s">
        <v>89</v>
      </c>
      <c r="C37" s="42">
        <f>'PL.2 TH (chi tiet)'!J65</f>
        <v>208700</v>
      </c>
      <c r="D37" s="42">
        <f>'PL.2 TH (chi tiet)'!K65</f>
        <v>210000</v>
      </c>
      <c r="E37" s="42">
        <f>'PL.2 TH (chi tiet)'!M65</f>
        <v>100000</v>
      </c>
      <c r="F37" s="43">
        <v>0.42</v>
      </c>
      <c r="G37" s="42">
        <f t="shared" si="1"/>
        <v>87654</v>
      </c>
      <c r="H37" s="42">
        <f t="shared" si="3"/>
        <v>88200</v>
      </c>
      <c r="I37" s="42">
        <f t="shared" si="4"/>
        <v>42000</v>
      </c>
    </row>
    <row r="38" spans="1:9" ht="15" x14ac:dyDescent="0.25">
      <c r="A38" s="37" t="s">
        <v>90</v>
      </c>
      <c r="B38" s="38" t="s">
        <v>235</v>
      </c>
      <c r="C38" s="42"/>
      <c r="D38" s="42"/>
      <c r="E38" s="42"/>
      <c r="F38" s="43"/>
      <c r="G38" s="42"/>
      <c r="H38" s="42"/>
      <c r="I38" s="42"/>
    </row>
    <row r="39" spans="1:9" ht="15" x14ac:dyDescent="0.25">
      <c r="A39" s="31" t="s">
        <v>92</v>
      </c>
      <c r="B39" s="32" t="s">
        <v>236</v>
      </c>
      <c r="C39" s="42"/>
      <c r="D39" s="42"/>
      <c r="E39" s="42"/>
      <c r="F39" s="43"/>
      <c r="G39" s="42"/>
      <c r="H39" s="42"/>
      <c r="I39" s="42"/>
    </row>
    <row r="40" spans="1:9" ht="15" x14ac:dyDescent="0.25">
      <c r="A40" s="44"/>
      <c r="B40" s="45" t="s">
        <v>237</v>
      </c>
      <c r="C40" s="46">
        <f>'PL.2 TH (chi tiet)'!J71</f>
        <v>183981.67070399999</v>
      </c>
      <c r="D40" s="46">
        <f>'PL.2 TH (chi tiet)'!K71</f>
        <v>189884.93686119982</v>
      </c>
      <c r="E40" s="46">
        <f>'PL.2 TH (chi tiet)'!M71</f>
        <v>65944.386759981644</v>
      </c>
      <c r="F40" s="53">
        <v>42.758000000000003</v>
      </c>
      <c r="G40" s="54">
        <f t="shared" si="1"/>
        <v>7866688.2759616319</v>
      </c>
      <c r="H40" s="54">
        <f t="shared" si="3"/>
        <v>8119100.1303111827</v>
      </c>
      <c r="I40" s="54">
        <f t="shared" si="4"/>
        <v>2819650.0890832953</v>
      </c>
    </row>
    <row r="41" spans="1:9" ht="15" x14ac:dyDescent="0.25">
      <c r="A41" s="34"/>
      <c r="B41" s="35" t="s">
        <v>238</v>
      </c>
      <c r="C41" s="42">
        <f>'PL.2 TH (chi tiet)'!J75</f>
        <v>653.78260000000012</v>
      </c>
      <c r="D41" s="42">
        <f>'PL.2 TH (chi tiet)'!K75</f>
        <v>605.69999999999993</v>
      </c>
      <c r="E41" s="42">
        <f>'PL.2 TH (chi tiet)'!M75</f>
        <v>621.82900129181712</v>
      </c>
      <c r="F41" s="43">
        <v>45.817</v>
      </c>
      <c r="G41" s="42">
        <f t="shared" si="1"/>
        <v>29954.357384200004</v>
      </c>
      <c r="H41" s="42">
        <f t="shared" si="3"/>
        <v>27751.356899999995</v>
      </c>
      <c r="I41" s="42">
        <f t="shared" si="4"/>
        <v>28490.339352187184</v>
      </c>
    </row>
    <row r="42" spans="1:9" ht="15" x14ac:dyDescent="0.25">
      <c r="A42" s="34"/>
      <c r="B42" s="35" t="s">
        <v>239</v>
      </c>
      <c r="C42" s="42">
        <f>'PL.2 TH (chi tiet)'!J79</f>
        <v>70197.05524999999</v>
      </c>
      <c r="D42" s="42">
        <f>'PL.2 TH (chi tiet)'!K79</f>
        <v>73905.680000000008</v>
      </c>
      <c r="E42" s="42">
        <f>'PL.2 TH (chi tiet)'!M79</f>
        <v>30901.058431609574</v>
      </c>
      <c r="F42" s="43">
        <v>3.1240000000000001</v>
      </c>
      <c r="G42" s="42">
        <f t="shared" si="1"/>
        <v>219295.60060099998</v>
      </c>
      <c r="H42" s="42">
        <f t="shared" si="3"/>
        <v>230881.34432000003</v>
      </c>
      <c r="I42" s="42">
        <f t="shared" si="4"/>
        <v>96534.906540348311</v>
      </c>
    </row>
    <row r="43" spans="1:9" ht="15" x14ac:dyDescent="0.25">
      <c r="A43" s="34"/>
      <c r="B43" s="35" t="s">
        <v>240</v>
      </c>
      <c r="C43" s="42">
        <f>'PL.2 TH (chi tiet)'!J83</f>
        <v>3157.1937599999997</v>
      </c>
      <c r="D43" s="42">
        <f>'PL.2 TH (chi tiet)'!K83</f>
        <v>3211.9676000000004</v>
      </c>
      <c r="E43" s="42">
        <f>'PL.2 TH (chi tiet)'!M83</f>
        <v>2364.1333333333332</v>
      </c>
      <c r="F43" s="43">
        <v>14.458</v>
      </c>
      <c r="G43" s="42">
        <f t="shared" si="1"/>
        <v>45646.707382079992</v>
      </c>
      <c r="H43" s="42">
        <f t="shared" si="3"/>
        <v>46438.627560800007</v>
      </c>
      <c r="I43" s="42">
        <f t="shared" si="4"/>
        <v>34180.63973333333</v>
      </c>
    </row>
    <row r="44" spans="1:9" ht="15" x14ac:dyDescent="0.2">
      <c r="A44" s="55" t="s">
        <v>96</v>
      </c>
      <c r="B44" s="56" t="s">
        <v>241</v>
      </c>
      <c r="C44" s="57"/>
      <c r="D44" s="57"/>
      <c r="E44" s="57"/>
      <c r="F44" s="57"/>
      <c r="G44" s="57">
        <f>SUM(G45:G55)</f>
        <v>1952884.5282770703</v>
      </c>
      <c r="H44" s="57">
        <f>SUM(H45:H55)</f>
        <v>2059256.3516599401</v>
      </c>
      <c r="I44" s="57">
        <f>SUM(I45:I55)</f>
        <v>1194277.5733704939</v>
      </c>
    </row>
    <row r="45" spans="1:9" ht="15" x14ac:dyDescent="0.25">
      <c r="A45" s="34"/>
      <c r="B45" s="35" t="s">
        <v>242</v>
      </c>
      <c r="C45" s="42">
        <f>'PL.2 TH (chi tiet)'!J88</f>
        <v>13033.75</v>
      </c>
      <c r="D45" s="42">
        <f>'PL.2 TH (chi tiet)'!K88</f>
        <v>13846.749307875894</v>
      </c>
      <c r="E45" s="42">
        <f>'PL.2 TH (chi tiet)'!M88</f>
        <v>6500</v>
      </c>
      <c r="F45" s="43">
        <v>10.023</v>
      </c>
      <c r="G45" s="61">
        <f>C45*$F45</f>
        <v>130637.27625</v>
      </c>
      <c r="H45" s="61">
        <f>D45*$F45</f>
        <v>138785.96831284009</v>
      </c>
      <c r="I45" s="61">
        <f>E45*$F45</f>
        <v>65149.5</v>
      </c>
    </row>
    <row r="46" spans="1:9" ht="15" x14ac:dyDescent="0.25">
      <c r="A46" s="34"/>
      <c r="B46" s="35" t="s">
        <v>243</v>
      </c>
      <c r="C46" s="42">
        <f>'PL.2 TH (chi tiet)'!J92</f>
        <v>7067.1113700000005</v>
      </c>
      <c r="D46" s="42">
        <f>'PL.2 TH (chi tiet)'!K92</f>
        <v>7949.4512199999999</v>
      </c>
      <c r="E46" s="42">
        <f>'PL.2 TH (chi tiet)'!M92</f>
        <v>3128.562962962963</v>
      </c>
      <c r="F46" s="43">
        <v>6.5549999999999997</v>
      </c>
      <c r="G46" s="61">
        <f t="shared" ref="G46:G57" si="5">C46*$F46</f>
        <v>46324.915030349999</v>
      </c>
      <c r="H46" s="61">
        <f t="shared" ref="H46:H57" si="6">D46*$F46</f>
        <v>52108.652747100001</v>
      </c>
      <c r="I46" s="61">
        <f t="shared" ref="I46:I57" si="7">E46*$F46</f>
        <v>20507.730222222221</v>
      </c>
    </row>
    <row r="47" spans="1:9" ht="15" x14ac:dyDescent="0.25">
      <c r="A47" s="34"/>
      <c r="B47" s="35" t="s">
        <v>244</v>
      </c>
      <c r="C47" s="42">
        <f>'PL.2 TH (chi tiet)'!J96</f>
        <v>63991.935539999999</v>
      </c>
      <c r="D47" s="42">
        <f>'PL.2 TH (chi tiet)'!K96</f>
        <v>70413.240000000005</v>
      </c>
      <c r="E47" s="42">
        <f>'PL.2 TH (chi tiet)'!M96</f>
        <v>33609.45945945946</v>
      </c>
      <c r="F47" s="43">
        <v>3.51</v>
      </c>
      <c r="G47" s="61">
        <f t="shared" si="5"/>
        <v>224611.69374539997</v>
      </c>
      <c r="H47" s="61">
        <f t="shared" si="6"/>
        <v>247150.4724</v>
      </c>
      <c r="I47" s="61">
        <f t="shared" si="7"/>
        <v>117969.20270270269</v>
      </c>
    </row>
    <row r="48" spans="1:9" ht="15" x14ac:dyDescent="0.25">
      <c r="A48" s="34"/>
      <c r="B48" s="35" t="s">
        <v>245</v>
      </c>
      <c r="C48" s="42">
        <f>'PL.2 TH (chi tiet)'!J100</f>
        <v>23776.144500000002</v>
      </c>
      <c r="D48" s="42">
        <f>'PL.2 TH (chi tiet)'!K100</f>
        <v>23267.87</v>
      </c>
      <c r="E48" s="42">
        <f>'PL.2 TH (chi tiet)'!M100</f>
        <v>17509.205879937588</v>
      </c>
      <c r="F48" s="43">
        <v>6.5620000000000003</v>
      </c>
      <c r="G48" s="61">
        <f t="shared" si="5"/>
        <v>156019.06020900002</v>
      </c>
      <c r="H48" s="61">
        <f t="shared" si="6"/>
        <v>152683.76293999999</v>
      </c>
      <c r="I48" s="61">
        <f t="shared" si="7"/>
        <v>114895.40898415046</v>
      </c>
    </row>
    <row r="49" spans="1:9" ht="15" x14ac:dyDescent="0.25">
      <c r="A49" s="34"/>
      <c r="B49" s="35" t="s">
        <v>246</v>
      </c>
      <c r="C49" s="42">
        <f>'PL.2 TH (chi tiet)'!J104</f>
        <v>39611.849399999999</v>
      </c>
      <c r="D49" s="42">
        <f>'PL.2 TH (chi tiet)'!K104</f>
        <v>41653.1</v>
      </c>
      <c r="E49" s="42">
        <f>'PL.2 TH (chi tiet)'!M104</f>
        <v>22644.822857142855</v>
      </c>
      <c r="F49" s="43">
        <v>7.5330000000000004</v>
      </c>
      <c r="G49" s="61">
        <f t="shared" si="5"/>
        <v>298396.06153020001</v>
      </c>
      <c r="H49" s="61">
        <f t="shared" si="6"/>
        <v>313772.80229999998</v>
      </c>
      <c r="I49" s="61">
        <f t="shared" si="7"/>
        <v>170583.45058285713</v>
      </c>
    </row>
    <row r="50" spans="1:9" ht="15" x14ac:dyDescent="0.25">
      <c r="A50" s="34"/>
      <c r="B50" s="35" t="s">
        <v>247</v>
      </c>
      <c r="C50" s="42">
        <f>'PL.2 TH (chi tiet)'!J108</f>
        <v>15015</v>
      </c>
      <c r="D50" s="42">
        <f>'PL.2 TH (chi tiet)'!K108</f>
        <v>14663.36</v>
      </c>
      <c r="E50" s="42">
        <f>'PL.2 TH (chi tiet)'!M108</f>
        <v>15048.756144901146</v>
      </c>
      <c r="F50" s="43">
        <v>4.2359999999999998</v>
      </c>
      <c r="G50" s="61">
        <f t="shared" si="5"/>
        <v>63603.539999999994</v>
      </c>
      <c r="H50" s="61">
        <f t="shared" si="6"/>
        <v>62113.992959999996</v>
      </c>
      <c r="I50" s="61">
        <f t="shared" si="7"/>
        <v>63746.531029801255</v>
      </c>
    </row>
    <row r="51" spans="1:9" ht="15" x14ac:dyDescent="0.25">
      <c r="A51" s="34"/>
      <c r="B51" s="35" t="s">
        <v>248</v>
      </c>
      <c r="C51" s="42">
        <f>'PL.2 TH (chi tiet)'!J112</f>
        <v>68856.886000000013</v>
      </c>
      <c r="D51" s="42">
        <f>'PL.2 TH (chi tiet)'!K112</f>
        <v>71749.509999999995</v>
      </c>
      <c r="E51" s="42">
        <f>'PL.2 TH (chi tiet)'!M112</f>
        <v>36720</v>
      </c>
      <c r="F51" s="43">
        <v>8.8689999999999998</v>
      </c>
      <c r="G51" s="61">
        <f t="shared" si="5"/>
        <v>610691.72193400015</v>
      </c>
      <c r="H51" s="61">
        <f t="shared" si="6"/>
        <v>636346.40418999991</v>
      </c>
      <c r="I51" s="61">
        <f t="shared" si="7"/>
        <v>325669.68</v>
      </c>
    </row>
    <row r="52" spans="1:9" ht="15" x14ac:dyDescent="0.25">
      <c r="A52" s="34"/>
      <c r="B52" s="35" t="s">
        <v>249</v>
      </c>
      <c r="C52" s="42">
        <f>'PL.2 TH (chi tiet)'!J116</f>
        <v>22125.254199999999</v>
      </c>
      <c r="D52" s="42">
        <f>'PL.2 TH (chi tiet)'!K116</f>
        <v>23796.769999999997</v>
      </c>
      <c r="E52" s="42">
        <f>'PL.2 TH (chi tiet)'!M116</f>
        <v>8913.2329495128397</v>
      </c>
      <c r="F52" s="43">
        <v>9.7420000000000009</v>
      </c>
      <c r="G52" s="61">
        <f t="shared" si="5"/>
        <v>215544.22641640002</v>
      </c>
      <c r="H52" s="61">
        <f t="shared" si="6"/>
        <v>231828.13334</v>
      </c>
      <c r="I52" s="61">
        <f t="shared" si="7"/>
        <v>86832.715394154089</v>
      </c>
    </row>
    <row r="53" spans="1:9" ht="15" x14ac:dyDescent="0.25">
      <c r="A53" s="34"/>
      <c r="B53" s="35" t="s">
        <v>250</v>
      </c>
      <c r="C53" s="42">
        <f>'PL.2 TH (chi tiet)'!J120</f>
        <v>28734.275010000001</v>
      </c>
      <c r="D53" s="42">
        <f>'PL.2 TH (chi tiet)'!K120</f>
        <v>32016.9</v>
      </c>
      <c r="E53" s="42">
        <f>'PL.2 TH (chi tiet)'!M120</f>
        <v>34218.951392004623</v>
      </c>
      <c r="F53" s="43">
        <v>4.1719999999999997</v>
      </c>
      <c r="G53" s="61">
        <f t="shared" si="5"/>
        <v>119879.39534172</v>
      </c>
      <c r="H53" s="61">
        <f t="shared" si="6"/>
        <v>133574.5068</v>
      </c>
      <c r="I53" s="61">
        <f t="shared" si="7"/>
        <v>142761.46520744328</v>
      </c>
    </row>
    <row r="54" spans="1:9" ht="15" x14ac:dyDescent="0.25">
      <c r="A54" s="34"/>
      <c r="B54" s="35" t="s">
        <v>251</v>
      </c>
      <c r="C54" s="42">
        <f>'PL.2 TH (chi tiet)'!J124</f>
        <v>1839.9</v>
      </c>
      <c r="D54" s="42">
        <f>'PL.2 TH (chi tiet)'!K124</f>
        <v>1788.8300000000002</v>
      </c>
      <c r="E54" s="42">
        <f>'PL.2 TH (chi tiet)'!M124</f>
        <v>1803.2677909021124</v>
      </c>
      <c r="F54" s="43">
        <v>8.4169999999999998</v>
      </c>
      <c r="G54" s="61">
        <f t="shared" si="5"/>
        <v>15486.4383</v>
      </c>
      <c r="H54" s="61">
        <f t="shared" si="6"/>
        <v>15056.582110000001</v>
      </c>
      <c r="I54" s="61">
        <f t="shared" si="7"/>
        <v>15178.104996023079</v>
      </c>
    </row>
    <row r="55" spans="1:9" ht="30" x14ac:dyDescent="0.25">
      <c r="A55" s="34"/>
      <c r="B55" s="35" t="s">
        <v>252</v>
      </c>
      <c r="C55" s="42">
        <f>'PL.2 TH (chi tiet)'!J126</f>
        <v>13345.16</v>
      </c>
      <c r="D55" s="42">
        <f>'PL.2 TH (chi tiet)'!K126</f>
        <v>14116.729999999998</v>
      </c>
      <c r="E55" s="42">
        <f>'PL.2 TH (chi tiet)'!M126</f>
        <v>13213.660508402845</v>
      </c>
      <c r="F55" s="43">
        <v>5.3719999999999999</v>
      </c>
      <c r="G55" s="61">
        <f t="shared" si="5"/>
        <v>71690.199519999995</v>
      </c>
      <c r="H55" s="61">
        <f t="shared" si="6"/>
        <v>75835.07355999999</v>
      </c>
      <c r="I55" s="61">
        <f t="shared" si="7"/>
        <v>70983.784251140081</v>
      </c>
    </row>
    <row r="56" spans="1:9" ht="15" x14ac:dyDescent="0.25">
      <c r="A56" s="31" t="s">
        <v>113</v>
      </c>
      <c r="B56" s="32" t="s">
        <v>253</v>
      </c>
      <c r="C56" s="42">
        <f>'PL.2 TH (chi tiet)'!J128</f>
        <v>1100</v>
      </c>
      <c r="D56" s="42">
        <f>'PL.2 TH (chi tiet)'!K128</f>
        <v>766.86040000000003</v>
      </c>
      <c r="E56" s="42">
        <f>'PL.2 TH (chi tiet)'!M128</f>
        <v>433.14059064807219</v>
      </c>
      <c r="F56" s="43">
        <v>4.5</v>
      </c>
      <c r="G56" s="61">
        <f t="shared" si="5"/>
        <v>4950</v>
      </c>
      <c r="H56" s="61">
        <f t="shared" si="6"/>
        <v>3450.8717999999999</v>
      </c>
      <c r="I56" s="61">
        <f t="shared" si="7"/>
        <v>1949.1326579163249</v>
      </c>
    </row>
    <row r="57" spans="1:9" ht="15" x14ac:dyDescent="0.25">
      <c r="A57" s="31" t="s">
        <v>115</v>
      </c>
      <c r="B57" s="32" t="s">
        <v>116</v>
      </c>
      <c r="C57" s="42">
        <f>'PL.2 TH (chi tiet)'!J129</f>
        <v>210000</v>
      </c>
      <c r="D57" s="42">
        <f>'PL.2 TH (chi tiet)'!K129</f>
        <v>203452.58060463495</v>
      </c>
      <c r="E57" s="42">
        <f>'PL.2 TH (chi tiet)'!M129</f>
        <v>100000</v>
      </c>
      <c r="F57" s="43">
        <v>0.4</v>
      </c>
      <c r="G57" s="61">
        <f t="shared" si="5"/>
        <v>84000</v>
      </c>
      <c r="H57" s="61">
        <f t="shared" si="6"/>
        <v>81381.032241853987</v>
      </c>
      <c r="I57" s="61">
        <f t="shared" si="7"/>
        <v>40000</v>
      </c>
    </row>
    <row r="58" spans="1:9" ht="15" x14ac:dyDescent="0.2">
      <c r="A58" s="31" t="s">
        <v>14</v>
      </c>
      <c r="B58" s="32" t="s">
        <v>254</v>
      </c>
      <c r="C58" s="58"/>
      <c r="D58" s="58"/>
      <c r="E58" s="58"/>
      <c r="F58" s="58"/>
      <c r="G58" s="58">
        <f>G59+G66+G67</f>
        <v>4651503.4000000004</v>
      </c>
      <c r="H58" s="58">
        <f>H59+H66+H67</f>
        <v>5207197.3569999998</v>
      </c>
      <c r="I58" s="58">
        <f>I59+I66+I67</f>
        <v>2945543.96</v>
      </c>
    </row>
    <row r="59" spans="1:9" ht="15" x14ac:dyDescent="0.2">
      <c r="A59" s="31">
        <v>1</v>
      </c>
      <c r="B59" s="32" t="s">
        <v>255</v>
      </c>
      <c r="C59" s="33">
        <f>C60+C61+C62+C63+C64+C65</f>
        <v>188530</v>
      </c>
      <c r="D59" s="33">
        <f>D60+D61+D62+D63+D64+D65</f>
        <v>206297</v>
      </c>
      <c r="E59" s="33">
        <f>E60+E61+E62+E63+E64+E65</f>
        <v>114120</v>
      </c>
      <c r="F59" s="59"/>
      <c r="G59" s="59">
        <f>G60+G61+G62+G63+G64+G65</f>
        <v>3186322</v>
      </c>
      <c r="H59" s="59">
        <f>H60+H61+H62+H63+H64+H65</f>
        <v>3699798.3569999998</v>
      </c>
      <c r="I59" s="59">
        <f>I60+I61+I62+I63+I64+I65</f>
        <v>2060941.46</v>
      </c>
    </row>
    <row r="60" spans="1:9" ht="15" x14ac:dyDescent="0.25">
      <c r="A60" s="34"/>
      <c r="B60" s="35" t="s">
        <v>133</v>
      </c>
      <c r="C60" s="36">
        <f>'PL.2 TH (chi tiet)'!J148</f>
        <v>42300</v>
      </c>
      <c r="D60" s="36">
        <f>'PL.2 TH (chi tiet)'!K148</f>
        <v>48097</v>
      </c>
      <c r="E60" s="36">
        <f>'PL.2 TH (chi tiet)'!M148</f>
        <v>26000</v>
      </c>
      <c r="F60" s="60">
        <v>32.530999999999999</v>
      </c>
      <c r="G60" s="61">
        <f>C60*$F60</f>
        <v>1376061.3</v>
      </c>
      <c r="H60" s="61">
        <f>D60*$F60</f>
        <v>1564643.507</v>
      </c>
      <c r="I60" s="61">
        <f>E60*$F60</f>
        <v>845806</v>
      </c>
    </row>
    <row r="61" spans="1:9" ht="15" x14ac:dyDescent="0.25">
      <c r="A61" s="34"/>
      <c r="B61" s="35" t="s">
        <v>134</v>
      </c>
      <c r="C61" s="36">
        <f>'PL.2 TH (chi tiet)'!J149</f>
        <v>900</v>
      </c>
      <c r="D61" s="36">
        <f>'PL.2 TH (chi tiet)'!K149</f>
        <v>700</v>
      </c>
      <c r="E61" s="36">
        <f>'PL.2 TH (chi tiet)'!M149</f>
        <v>320</v>
      </c>
      <c r="F61" s="60">
        <v>31.753</v>
      </c>
      <c r="G61" s="61">
        <f t="shared" ref="G61:G67" si="8">C61*$F61</f>
        <v>28577.7</v>
      </c>
      <c r="H61" s="61">
        <f t="shared" ref="H61:H67" si="9">D61*$F61</f>
        <v>22227.1</v>
      </c>
      <c r="I61" s="61">
        <f t="shared" ref="I61:I67" si="10">E61*$F61</f>
        <v>10160.959999999999</v>
      </c>
    </row>
    <row r="62" spans="1:9" ht="15" x14ac:dyDescent="0.25">
      <c r="A62" s="34"/>
      <c r="B62" s="35" t="s">
        <v>135</v>
      </c>
      <c r="C62" s="36">
        <f>'PL.2 TH (chi tiet)'!J150</f>
        <v>7500</v>
      </c>
      <c r="D62" s="36">
        <f>'PL.2 TH (chi tiet)'!K150</f>
        <v>7550</v>
      </c>
      <c r="E62" s="36">
        <f>'PL.2 TH (chi tiet)'!M150</f>
        <v>3700</v>
      </c>
      <c r="F62" s="60">
        <v>37.255000000000003</v>
      </c>
      <c r="G62" s="61">
        <f t="shared" si="8"/>
        <v>279412.5</v>
      </c>
      <c r="H62" s="61">
        <f t="shared" si="9"/>
        <v>281275.25</v>
      </c>
      <c r="I62" s="61">
        <f t="shared" si="10"/>
        <v>137843.5</v>
      </c>
    </row>
    <row r="63" spans="1:9" ht="15" x14ac:dyDescent="0.25">
      <c r="A63" s="34"/>
      <c r="B63" s="35" t="s">
        <v>136</v>
      </c>
      <c r="C63" s="36">
        <f>'PL.2 TH (chi tiet)'!J151</f>
        <v>930</v>
      </c>
      <c r="D63" s="36">
        <f>'PL.2 TH (chi tiet)'!K151</f>
        <v>950</v>
      </c>
      <c r="E63" s="36">
        <f>'PL.2 TH (chi tiet)'!M151</f>
        <v>450</v>
      </c>
      <c r="F63" s="60">
        <v>20.149999999999999</v>
      </c>
      <c r="G63" s="61">
        <f t="shared" si="8"/>
        <v>18739.5</v>
      </c>
      <c r="H63" s="61">
        <f t="shared" si="9"/>
        <v>19142.5</v>
      </c>
      <c r="I63" s="61">
        <f t="shared" si="10"/>
        <v>9067.5</v>
      </c>
    </row>
    <row r="64" spans="1:9" ht="15" x14ac:dyDescent="0.25">
      <c r="A64" s="34"/>
      <c r="B64" s="35" t="s">
        <v>137</v>
      </c>
      <c r="C64" s="36">
        <f>'PL.2 TH (chi tiet)'!J152</f>
        <v>39900</v>
      </c>
      <c r="D64" s="36">
        <f>'PL.2 TH (chi tiet)'!K152</f>
        <v>49000</v>
      </c>
      <c r="E64" s="36">
        <f>'PL.2 TH (chi tiet)'!M152</f>
        <v>28650</v>
      </c>
      <c r="F64" s="60">
        <v>35.99</v>
      </c>
      <c r="G64" s="61">
        <f t="shared" si="8"/>
        <v>1436001</v>
      </c>
      <c r="H64" s="61">
        <f t="shared" si="9"/>
        <v>1763510</v>
      </c>
      <c r="I64" s="61">
        <f>E64*$F64</f>
        <v>1031113.5</v>
      </c>
    </row>
    <row r="65" spans="1:9" ht="15" x14ac:dyDescent="0.25">
      <c r="A65" s="34"/>
      <c r="B65" s="35" t="s">
        <v>138</v>
      </c>
      <c r="C65" s="36">
        <f>'PL.2 TH (chi tiet)'!J153</f>
        <v>97000</v>
      </c>
      <c r="D65" s="36">
        <f>'PL.2 TH (chi tiet)'!K153</f>
        <v>100000</v>
      </c>
      <c r="E65" s="36">
        <f>'PL.2 TH (chi tiet)'!M153</f>
        <v>55000</v>
      </c>
      <c r="F65" s="60">
        <v>0.49</v>
      </c>
      <c r="G65" s="61">
        <f t="shared" si="8"/>
        <v>47530</v>
      </c>
      <c r="H65" s="61">
        <f t="shared" si="9"/>
        <v>49000</v>
      </c>
      <c r="I65" s="61">
        <f t="shared" si="10"/>
        <v>26950</v>
      </c>
    </row>
    <row r="66" spans="1:9" ht="15" x14ac:dyDescent="0.25">
      <c r="A66" s="31">
        <v>2</v>
      </c>
      <c r="B66" s="32" t="s">
        <v>256</v>
      </c>
      <c r="C66" s="33">
        <f>'PL.2 TH (chi tiet)'!J154</f>
        <v>58600</v>
      </c>
      <c r="D66" s="33">
        <f>'PL.2 TH (chi tiet)'!K154</f>
        <v>51000</v>
      </c>
      <c r="E66" s="33">
        <f>'PL.2 TH (chi tiet)'!M154</f>
        <v>27500</v>
      </c>
      <c r="F66" s="60">
        <v>6.399</v>
      </c>
      <c r="G66" s="61">
        <f t="shared" si="8"/>
        <v>374981.4</v>
      </c>
      <c r="H66" s="61">
        <f t="shared" si="9"/>
        <v>326349</v>
      </c>
      <c r="I66" s="61">
        <f>E66*$F66</f>
        <v>175972.5</v>
      </c>
    </row>
    <row r="67" spans="1:9" ht="15" x14ac:dyDescent="0.25">
      <c r="A67" s="31">
        <v>3</v>
      </c>
      <c r="B67" s="32" t="s">
        <v>257</v>
      </c>
      <c r="C67" s="33">
        <f>'PL.2 TH (chi tiet)'!J155</f>
        <v>600000</v>
      </c>
      <c r="D67" s="33">
        <f>'PL.2 TH (chi tiet)'!K155</f>
        <v>650000</v>
      </c>
      <c r="E67" s="33">
        <f>'PL.2 TH (chi tiet)'!M155</f>
        <v>390000</v>
      </c>
      <c r="F67" s="60">
        <v>1.8169999999999999</v>
      </c>
      <c r="G67" s="61">
        <f t="shared" si="8"/>
        <v>1090200</v>
      </c>
      <c r="H67" s="61">
        <f t="shared" si="9"/>
        <v>1181050</v>
      </c>
      <c r="I67" s="61">
        <f t="shared" si="10"/>
        <v>708630</v>
      </c>
    </row>
    <row r="68" spans="1:9" ht="15" x14ac:dyDescent="0.2">
      <c r="A68" s="31" t="s">
        <v>7</v>
      </c>
      <c r="B68" s="32" t="s">
        <v>266</v>
      </c>
      <c r="C68" s="58"/>
      <c r="D68" s="58"/>
      <c r="E68" s="58"/>
      <c r="F68" s="58"/>
      <c r="G68" s="58">
        <f>G69+G73+G77</f>
        <v>447929.31199999998</v>
      </c>
      <c r="H68" s="58">
        <f>H69+H73+H77</f>
        <v>524903.93616000004</v>
      </c>
      <c r="I68" s="58">
        <f>I69+I73+I77</f>
        <v>266801.62229999999</v>
      </c>
    </row>
    <row r="69" spans="1:9" ht="15" x14ac:dyDescent="0.25">
      <c r="A69" s="31">
        <v>1</v>
      </c>
      <c r="B69" s="32" t="s">
        <v>267</v>
      </c>
      <c r="C69" s="84">
        <f>'PL.2 TH (chi tiet)'!J190</f>
        <v>2230</v>
      </c>
      <c r="D69" s="84">
        <f>'PL.2 TH (chi tiet)'!K190</f>
        <v>2007.36</v>
      </c>
      <c r="E69" s="84">
        <f>'PL.2 TH (chi tiet)'!M190</f>
        <v>1032</v>
      </c>
      <c r="F69" s="72">
        <v>21.596</v>
      </c>
      <c r="G69" s="61">
        <f>C69*$F69</f>
        <v>48159.08</v>
      </c>
      <c r="H69" s="61">
        <f>D69*$F69</f>
        <v>43350.946559999997</v>
      </c>
      <c r="I69" s="61">
        <f>E69*$F69</f>
        <v>22287.072</v>
      </c>
    </row>
    <row r="70" spans="1:9" ht="15" x14ac:dyDescent="0.25">
      <c r="A70" s="34"/>
      <c r="B70" s="35" t="s">
        <v>268</v>
      </c>
      <c r="C70" s="85"/>
      <c r="D70" s="85"/>
      <c r="E70" s="85"/>
      <c r="F70" s="60">
        <v>21.5</v>
      </c>
      <c r="G70" s="61">
        <f t="shared" ref="G70:G77" si="11">C70*$F70</f>
        <v>0</v>
      </c>
      <c r="H70" s="61">
        <f t="shared" ref="H70:H77" si="12">D70*$F70</f>
        <v>0</v>
      </c>
      <c r="I70" s="61">
        <f t="shared" ref="I70:I77" si="13">E70*$F70</f>
        <v>0</v>
      </c>
    </row>
    <row r="71" spans="1:9" ht="15" x14ac:dyDescent="0.25">
      <c r="A71" s="34"/>
      <c r="B71" s="35" t="s">
        <v>269</v>
      </c>
      <c r="C71" s="85"/>
      <c r="D71" s="85"/>
      <c r="E71" s="85"/>
      <c r="F71" s="60">
        <v>76.099999999999994</v>
      </c>
      <c r="G71" s="61">
        <f t="shared" si="11"/>
        <v>0</v>
      </c>
      <c r="H71" s="61">
        <f t="shared" si="12"/>
        <v>0</v>
      </c>
      <c r="I71" s="61">
        <f t="shared" si="13"/>
        <v>0</v>
      </c>
    </row>
    <row r="72" spans="1:9" ht="15" x14ac:dyDescent="0.25">
      <c r="A72" s="34"/>
      <c r="B72" s="35" t="s">
        <v>270</v>
      </c>
      <c r="C72" s="85"/>
      <c r="D72" s="85"/>
      <c r="E72" s="85"/>
      <c r="F72" s="60">
        <v>10.4</v>
      </c>
      <c r="G72" s="61">
        <f t="shared" si="11"/>
        <v>0</v>
      </c>
      <c r="H72" s="61">
        <f t="shared" si="12"/>
        <v>0</v>
      </c>
      <c r="I72" s="61">
        <f t="shared" si="13"/>
        <v>0</v>
      </c>
    </row>
    <row r="73" spans="1:9" ht="15" x14ac:dyDescent="0.25">
      <c r="A73" s="34">
        <v>2</v>
      </c>
      <c r="B73" s="32" t="s">
        <v>271</v>
      </c>
      <c r="C73" s="85">
        <f>'PL.2 TH (chi tiet)'!J192</f>
        <v>11408</v>
      </c>
      <c r="D73" s="85">
        <f>'PL.2 TH (chi tiet)'!K192</f>
        <v>13641.62</v>
      </c>
      <c r="E73" s="85">
        <f>'PL.2 TH (chi tiet)'!M192</f>
        <v>6914</v>
      </c>
      <c r="F73" s="71">
        <v>32.783999999999999</v>
      </c>
      <c r="G73" s="61">
        <f t="shared" si="11"/>
        <v>373999.87199999997</v>
      </c>
      <c r="H73" s="61">
        <f t="shared" si="12"/>
        <v>447226.87008000002</v>
      </c>
      <c r="I73" s="61">
        <f t="shared" si="13"/>
        <v>226668.576</v>
      </c>
    </row>
    <row r="74" spans="1:9" ht="15" x14ac:dyDescent="0.25">
      <c r="A74" s="34"/>
      <c r="B74" s="35" t="s">
        <v>268</v>
      </c>
      <c r="C74" s="85"/>
      <c r="D74" s="85"/>
      <c r="E74" s="85"/>
      <c r="F74" s="60">
        <v>21.178999999999998</v>
      </c>
      <c r="G74" s="61">
        <f t="shared" si="11"/>
        <v>0</v>
      </c>
      <c r="H74" s="61">
        <f t="shared" si="12"/>
        <v>0</v>
      </c>
      <c r="I74" s="61">
        <f t="shared" si="13"/>
        <v>0</v>
      </c>
    </row>
    <row r="75" spans="1:9" ht="15" x14ac:dyDescent="0.25">
      <c r="A75" s="34"/>
      <c r="B75" s="35" t="s">
        <v>269</v>
      </c>
      <c r="C75" s="85"/>
      <c r="D75" s="85"/>
      <c r="E75" s="85"/>
      <c r="F75" s="60">
        <v>105</v>
      </c>
      <c r="G75" s="61">
        <f t="shared" si="11"/>
        <v>0</v>
      </c>
      <c r="H75" s="61">
        <f t="shared" si="12"/>
        <v>0</v>
      </c>
      <c r="I75" s="61">
        <f t="shared" si="13"/>
        <v>0</v>
      </c>
    </row>
    <row r="76" spans="1:9" ht="15" x14ac:dyDescent="0.25">
      <c r="A76" s="69"/>
      <c r="B76" s="35" t="s">
        <v>270</v>
      </c>
      <c r="C76" s="85"/>
      <c r="D76" s="85"/>
      <c r="E76" s="85"/>
      <c r="F76" s="60">
        <v>209.29599999999999</v>
      </c>
      <c r="G76" s="61">
        <f t="shared" si="11"/>
        <v>0</v>
      </c>
      <c r="H76" s="61">
        <f t="shared" si="12"/>
        <v>0</v>
      </c>
      <c r="I76" s="61">
        <f t="shared" si="13"/>
        <v>0</v>
      </c>
    </row>
    <row r="77" spans="1:9" ht="15" x14ac:dyDescent="0.25">
      <c r="A77" s="70">
        <v>3</v>
      </c>
      <c r="B77" s="62" t="s">
        <v>289</v>
      </c>
      <c r="C77" s="86">
        <f>'PL.2 TH (chi tiet)'!J194</f>
        <v>40</v>
      </c>
      <c r="D77" s="86">
        <f>'PL.2 TH (chi tiet)'!K194</f>
        <v>53.28</v>
      </c>
      <c r="E77" s="86">
        <f>'PL.2 TH (chi tiet)'!M194</f>
        <v>27.7</v>
      </c>
      <c r="F77" s="63">
        <v>644.25900000000001</v>
      </c>
      <c r="G77" s="64">
        <f t="shared" si="11"/>
        <v>25770.36</v>
      </c>
      <c r="H77" s="64">
        <f t="shared" si="12"/>
        <v>34326.11952</v>
      </c>
      <c r="I77" s="64">
        <f t="shared" si="13"/>
        <v>17845.974300000002</v>
      </c>
    </row>
    <row r="78" spans="1:9" ht="15" x14ac:dyDescent="0.2">
      <c r="A78" s="31" t="s">
        <v>7</v>
      </c>
      <c r="B78" s="32" t="s">
        <v>272</v>
      </c>
      <c r="C78" s="80"/>
      <c r="D78" s="80"/>
      <c r="E78" s="80"/>
      <c r="F78" s="58"/>
      <c r="G78" s="58">
        <f>G79+G85+G94</f>
        <v>0</v>
      </c>
      <c r="H78" s="58">
        <f>H79+H85+H94</f>
        <v>0</v>
      </c>
      <c r="I78" s="58">
        <f>I79+I85+I94</f>
        <v>0</v>
      </c>
    </row>
    <row r="79" spans="1:9" s="79" customFormat="1" ht="15" x14ac:dyDescent="0.25">
      <c r="A79" s="75">
        <v>1</v>
      </c>
      <c r="B79" s="76" t="s">
        <v>275</v>
      </c>
      <c r="C79" s="81"/>
      <c r="D79" s="81"/>
      <c r="E79" s="81"/>
      <c r="F79" s="77"/>
      <c r="G79" s="78">
        <f>G80+G81+G82+G83+G84</f>
        <v>0</v>
      </c>
      <c r="H79" s="78">
        <f>H80+H81+H82+H83+H84</f>
        <v>0</v>
      </c>
      <c r="I79" s="78">
        <f>I80+I81+I82+I83+I84</f>
        <v>0</v>
      </c>
    </row>
    <row r="80" spans="1:9" ht="15" x14ac:dyDescent="0.25">
      <c r="A80" s="34"/>
      <c r="B80" s="35" t="s">
        <v>273</v>
      </c>
      <c r="C80" s="82"/>
      <c r="D80" s="82"/>
      <c r="E80" s="82"/>
      <c r="F80" s="60">
        <v>3.7084999999999999</v>
      </c>
      <c r="G80" s="61">
        <f>C80*$F80</f>
        <v>0</v>
      </c>
      <c r="H80" s="61">
        <f>D80*$F80</f>
        <v>0</v>
      </c>
      <c r="I80" s="61">
        <f>E80*$F80</f>
        <v>0</v>
      </c>
    </row>
    <row r="81" spans="1:9" ht="15" x14ac:dyDescent="0.25">
      <c r="A81" s="34"/>
      <c r="B81" s="35" t="s">
        <v>280</v>
      </c>
      <c r="C81" s="82"/>
      <c r="D81" s="82"/>
      <c r="E81" s="82"/>
      <c r="F81" s="60">
        <v>1.036</v>
      </c>
      <c r="G81" s="61">
        <f t="shared" ref="G81:G94" si="14">C81*$F81</f>
        <v>0</v>
      </c>
      <c r="H81" s="61">
        <f t="shared" ref="H81:H94" si="15">D81*$F81</f>
        <v>0</v>
      </c>
      <c r="I81" s="61">
        <f t="shared" ref="I81:I94" si="16">E81*$F81</f>
        <v>0</v>
      </c>
    </row>
    <row r="82" spans="1:9" ht="15" x14ac:dyDescent="0.25">
      <c r="A82" s="34"/>
      <c r="B82" s="35" t="s">
        <v>274</v>
      </c>
      <c r="C82" s="82"/>
      <c r="D82" s="82"/>
      <c r="E82" s="82"/>
      <c r="F82" s="60">
        <v>2.7210000000000001</v>
      </c>
      <c r="G82" s="61">
        <f t="shared" si="14"/>
        <v>0</v>
      </c>
      <c r="H82" s="61">
        <f t="shared" si="15"/>
        <v>0</v>
      </c>
      <c r="I82" s="61">
        <f t="shared" si="16"/>
        <v>0</v>
      </c>
    </row>
    <row r="83" spans="1:9" ht="15" x14ac:dyDescent="0.25">
      <c r="A83" s="34"/>
      <c r="B83" s="35" t="s">
        <v>276</v>
      </c>
      <c r="C83" s="82"/>
      <c r="D83" s="82"/>
      <c r="E83" s="82"/>
      <c r="F83" s="60">
        <v>0.97370000000000001</v>
      </c>
      <c r="G83" s="61">
        <f t="shared" si="14"/>
        <v>0</v>
      </c>
      <c r="H83" s="61">
        <f t="shared" si="15"/>
        <v>0</v>
      </c>
      <c r="I83" s="61">
        <f t="shared" si="16"/>
        <v>0</v>
      </c>
    </row>
    <row r="84" spans="1:9" ht="15" x14ac:dyDescent="0.25">
      <c r="A84" s="34"/>
      <c r="B84" s="35" t="s">
        <v>277</v>
      </c>
      <c r="C84" s="82"/>
      <c r="D84" s="82"/>
      <c r="E84" s="82"/>
      <c r="F84" s="60">
        <v>4.1980000000000004</v>
      </c>
      <c r="G84" s="61">
        <f t="shared" si="14"/>
        <v>0</v>
      </c>
      <c r="H84" s="61">
        <f t="shared" si="15"/>
        <v>0</v>
      </c>
      <c r="I84" s="61">
        <f t="shared" si="16"/>
        <v>0</v>
      </c>
    </row>
    <row r="85" spans="1:9" s="79" customFormat="1" ht="15" x14ac:dyDescent="0.25">
      <c r="A85" s="75">
        <v>2</v>
      </c>
      <c r="B85" s="76" t="s">
        <v>278</v>
      </c>
      <c r="C85" s="81"/>
      <c r="D85" s="81"/>
      <c r="E85" s="81"/>
      <c r="F85" s="71"/>
      <c r="G85" s="78">
        <f>G86+G87+G88+G89+G90+G91+G92</f>
        <v>0</v>
      </c>
      <c r="H85" s="78">
        <f>H86+H87+H88+H89+H90+H91+H92</f>
        <v>0</v>
      </c>
      <c r="I85" s="78">
        <f>I86+I87+I88+I89+I90+I91+I92</f>
        <v>0</v>
      </c>
    </row>
    <row r="86" spans="1:9" ht="15" x14ac:dyDescent="0.25">
      <c r="A86" s="34"/>
      <c r="B86" s="35" t="s">
        <v>279</v>
      </c>
      <c r="C86" s="82"/>
      <c r="D86" s="82"/>
      <c r="E86" s="82"/>
      <c r="F86" s="60">
        <v>1.5575000000000001</v>
      </c>
      <c r="G86" s="61">
        <f t="shared" si="14"/>
        <v>0</v>
      </c>
      <c r="H86" s="61">
        <f t="shared" si="15"/>
        <v>0</v>
      </c>
      <c r="I86" s="61">
        <f t="shared" si="16"/>
        <v>0</v>
      </c>
    </row>
    <row r="87" spans="1:9" ht="15" x14ac:dyDescent="0.25">
      <c r="A87" s="34"/>
      <c r="B87" s="35" t="s">
        <v>281</v>
      </c>
      <c r="C87" s="82"/>
      <c r="D87" s="82"/>
      <c r="E87" s="82"/>
      <c r="F87" s="60">
        <v>0.124</v>
      </c>
      <c r="G87" s="61">
        <f t="shared" si="14"/>
        <v>0</v>
      </c>
      <c r="H87" s="61">
        <f t="shared" si="15"/>
        <v>0</v>
      </c>
      <c r="I87" s="61">
        <f t="shared" si="16"/>
        <v>0</v>
      </c>
    </row>
    <row r="88" spans="1:9" ht="15" x14ac:dyDescent="0.25">
      <c r="A88" s="34"/>
      <c r="B88" s="35" t="s">
        <v>282</v>
      </c>
      <c r="C88" s="82"/>
      <c r="D88" s="82"/>
      <c r="E88" s="82"/>
      <c r="F88" s="60">
        <v>11.019</v>
      </c>
      <c r="G88" s="61">
        <f t="shared" si="14"/>
        <v>0</v>
      </c>
      <c r="H88" s="61">
        <f t="shared" si="15"/>
        <v>0</v>
      </c>
      <c r="I88" s="61">
        <f t="shared" si="16"/>
        <v>0</v>
      </c>
    </row>
    <row r="89" spans="1:9" ht="15" x14ac:dyDescent="0.25">
      <c r="A89" s="34"/>
      <c r="B89" s="35" t="s">
        <v>283</v>
      </c>
      <c r="C89" s="82"/>
      <c r="D89" s="82"/>
      <c r="E89" s="82"/>
      <c r="F89" s="60">
        <v>5.2569999999999997</v>
      </c>
      <c r="G89" s="61">
        <f t="shared" si="14"/>
        <v>0</v>
      </c>
      <c r="H89" s="61">
        <f t="shared" si="15"/>
        <v>0</v>
      </c>
      <c r="I89" s="61">
        <f t="shared" si="16"/>
        <v>0</v>
      </c>
    </row>
    <row r="90" spans="1:9" ht="15" x14ac:dyDescent="0.25">
      <c r="A90" s="34"/>
      <c r="B90" s="35" t="s">
        <v>284</v>
      </c>
      <c r="C90" s="82"/>
      <c r="D90" s="82"/>
      <c r="E90" s="82"/>
      <c r="F90" s="60">
        <v>0.27</v>
      </c>
      <c r="G90" s="61">
        <f t="shared" si="14"/>
        <v>0</v>
      </c>
      <c r="H90" s="61">
        <f t="shared" si="15"/>
        <v>0</v>
      </c>
      <c r="I90" s="61">
        <f t="shared" si="16"/>
        <v>0</v>
      </c>
    </row>
    <row r="91" spans="1:9" ht="15" x14ac:dyDescent="0.25">
      <c r="A91" s="34"/>
      <c r="B91" s="35" t="s">
        <v>285</v>
      </c>
      <c r="C91" s="82"/>
      <c r="D91" s="82"/>
      <c r="E91" s="82"/>
      <c r="F91" s="60">
        <v>85</v>
      </c>
      <c r="G91" s="61">
        <f t="shared" si="14"/>
        <v>0</v>
      </c>
      <c r="H91" s="61">
        <f t="shared" si="15"/>
        <v>0</v>
      </c>
      <c r="I91" s="61">
        <f t="shared" si="16"/>
        <v>0</v>
      </c>
    </row>
    <row r="92" spans="1:9" ht="15" x14ac:dyDescent="0.25">
      <c r="A92" s="34"/>
      <c r="B92" s="35" t="s">
        <v>286</v>
      </c>
      <c r="C92" s="82"/>
      <c r="D92" s="82"/>
      <c r="E92" s="82"/>
      <c r="F92" s="60">
        <v>3.698</v>
      </c>
      <c r="G92" s="61">
        <f t="shared" si="14"/>
        <v>0</v>
      </c>
      <c r="H92" s="61">
        <f>D92*$F92</f>
        <v>0</v>
      </c>
      <c r="I92" s="61">
        <f>E92*$F92</f>
        <v>0</v>
      </c>
    </row>
    <row r="93" spans="1:9" ht="15" x14ac:dyDescent="0.25">
      <c r="A93" s="34">
        <v>3</v>
      </c>
      <c r="B93" s="32" t="s">
        <v>287</v>
      </c>
      <c r="C93" s="82"/>
      <c r="D93" s="82"/>
      <c r="E93" s="82"/>
      <c r="F93" s="60"/>
      <c r="G93" s="61"/>
      <c r="H93" s="61"/>
      <c r="I93" s="61"/>
    </row>
    <row r="94" spans="1:9" ht="15" x14ac:dyDescent="0.25">
      <c r="A94" s="73"/>
      <c r="B94" s="74" t="s">
        <v>288</v>
      </c>
      <c r="C94" s="83"/>
      <c r="D94" s="83"/>
      <c r="E94" s="83"/>
      <c r="F94" s="63">
        <v>0.124</v>
      </c>
      <c r="G94" s="87">
        <f t="shared" si="14"/>
        <v>0</v>
      </c>
      <c r="H94" s="87">
        <f t="shared" si="15"/>
        <v>0</v>
      </c>
      <c r="I94" s="87">
        <f t="shared" si="16"/>
        <v>0</v>
      </c>
    </row>
  </sheetData>
  <mergeCells count="6">
    <mergeCell ref="O1:Y1"/>
    <mergeCell ref="A1:A2"/>
    <mergeCell ref="B1:B2"/>
    <mergeCell ref="C1:E1"/>
    <mergeCell ref="G1:I1"/>
    <mergeCell ref="F1:F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7AD8C-9A7B-49AE-A672-BAB2E6B24C0E}">
  <sheetPr codeName="Sheet6"/>
  <dimension ref="A1:E7"/>
  <sheetViews>
    <sheetView workbookViewId="0">
      <selection activeCell="F29" sqref="F29"/>
    </sheetView>
  </sheetViews>
  <sheetFormatPr defaultRowHeight="12.75" x14ac:dyDescent="0.2"/>
  <cols>
    <col min="1" max="1" width="11.140625" customWidth="1"/>
    <col min="2" max="2" width="9.28515625" customWidth="1"/>
    <col min="3" max="3" width="10.85546875" customWidth="1"/>
    <col min="4" max="4" width="26.140625" customWidth="1"/>
    <col min="5" max="5" width="25.85546875" customWidth="1"/>
  </cols>
  <sheetData>
    <row r="1" spans="1:5" x14ac:dyDescent="0.2">
      <c r="A1" t="s">
        <v>299</v>
      </c>
      <c r="B1" t="s">
        <v>300</v>
      </c>
      <c r="C1" t="s">
        <v>301</v>
      </c>
      <c r="D1" t="s">
        <v>302</v>
      </c>
      <c r="E1" t="s">
        <v>303</v>
      </c>
    </row>
    <row r="2" spans="1:5" x14ac:dyDescent="0.2">
      <c r="A2">
        <v>2017</v>
      </c>
      <c r="B2">
        <v>1.1825244831889274</v>
      </c>
    </row>
    <row r="3" spans="1:5" x14ac:dyDescent="0.2">
      <c r="A3">
        <v>2018</v>
      </c>
      <c r="B3">
        <v>1.1565776016234641</v>
      </c>
    </row>
    <row r="4" spans="1:5" x14ac:dyDescent="0.2">
      <c r="A4">
        <v>2019</v>
      </c>
      <c r="B4">
        <v>1.1971524598666778</v>
      </c>
    </row>
    <row r="5" spans="1:5" x14ac:dyDescent="0.2">
      <c r="A5">
        <v>2020</v>
      </c>
      <c r="B5">
        <v>1.2544907261598808</v>
      </c>
      <c r="C5">
        <v>1.2544907261598808</v>
      </c>
      <c r="D5" s="98">
        <v>1.2544907261598808</v>
      </c>
      <c r="E5" s="98">
        <v>1.2544907261598808</v>
      </c>
    </row>
    <row r="6" spans="1:5" x14ac:dyDescent="0.2">
      <c r="A6">
        <v>2021</v>
      </c>
      <c r="C6">
        <v>1.2800002399999999</v>
      </c>
      <c r="D6" s="98">
        <f>C6-_xlfn.FORECAST.ETS.CONFINT(A6,$B$2:$B$5,$A$2:$A$5,0.95,1,1)</f>
        <v>1.2212406661612905</v>
      </c>
      <c r="E6" s="98">
        <f>C6+_xlfn.FORECAST.ETS.CONFINT(A6,$B$2:$B$5,$A$2:$A$5,0.95,1,1)</f>
        <v>1.3387598138387093</v>
      </c>
    </row>
    <row r="7" spans="1:5" x14ac:dyDescent="0.2">
      <c r="A7">
        <v>2022</v>
      </c>
      <c r="C7">
        <f>_xlfn.FORECAST.ETS(A7,$B$2:$B$5,$A$2:$A$5,1,1)</f>
        <v>1.3000522747258336</v>
      </c>
      <c r="D7" s="98">
        <f>C7-_xlfn.FORECAST.ETS.CONFINT(A7,$B$2:$B$5,$A$2:$A$5,0.95,1,1)</f>
        <v>1.2394700142529049</v>
      </c>
      <c r="E7" s="98">
        <f>C7+_xlfn.FORECAST.ETS.CONFINT(A7,$B$2:$B$5,$A$2:$A$5,0.95,1,1)</f>
        <v>1.3606345351987623</v>
      </c>
    </row>
  </sheetData>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C93E5-112C-4D59-9BE9-76FBBD67A464}">
  <sheetPr codeName="Sheet7"/>
  <dimension ref="A1:E9"/>
  <sheetViews>
    <sheetView workbookViewId="0">
      <selection activeCell="E17" sqref="E17"/>
    </sheetView>
  </sheetViews>
  <sheetFormatPr defaultRowHeight="12.75" x14ac:dyDescent="0.2"/>
  <cols>
    <col min="1" max="1" width="11.140625" customWidth="1"/>
    <col min="2" max="2" width="9.28515625" customWidth="1"/>
    <col min="3" max="3" width="10.85546875" customWidth="1"/>
    <col min="4" max="4" width="26.140625" customWidth="1"/>
    <col min="5" max="5" width="25.85546875" customWidth="1"/>
  </cols>
  <sheetData>
    <row r="1" spans="1:5" x14ac:dyDescent="0.2">
      <c r="A1" t="s">
        <v>299</v>
      </c>
      <c r="B1" t="s">
        <v>300</v>
      </c>
      <c r="C1" t="s">
        <v>301</v>
      </c>
      <c r="D1" t="s">
        <v>302</v>
      </c>
      <c r="E1" t="s">
        <v>303</v>
      </c>
    </row>
    <row r="2" spans="1:5" x14ac:dyDescent="0.2">
      <c r="A2">
        <v>2015</v>
      </c>
      <c r="B2">
        <v>1.5691971066610837</v>
      </c>
    </row>
    <row r="3" spans="1:5" x14ac:dyDescent="0.2">
      <c r="A3">
        <v>2016</v>
      </c>
      <c r="B3">
        <v>1.5582231465147518</v>
      </c>
    </row>
    <row r="4" spans="1:5" x14ac:dyDescent="0.2">
      <c r="A4">
        <v>2017</v>
      </c>
      <c r="B4">
        <v>1.5568484523407744</v>
      </c>
    </row>
    <row r="5" spans="1:5" x14ac:dyDescent="0.2">
      <c r="A5">
        <v>2018</v>
      </c>
      <c r="B5">
        <v>1.5764342573112367</v>
      </c>
      <c r="C5">
        <v>1.5764342573112367</v>
      </c>
      <c r="D5" s="98">
        <v>1.5764342573112367</v>
      </c>
      <c r="E5" s="98">
        <v>1.5764342573112367</v>
      </c>
    </row>
    <row r="6" spans="1:5" x14ac:dyDescent="0.2">
      <c r="A6">
        <v>2019</v>
      </c>
      <c r="C6">
        <f>_xlfn.FORECAST.ETS(A6,$B$2:$B$5,$A$2:$A$5,1,1)</f>
        <v>1.5742618826823531</v>
      </c>
      <c r="D6" s="98">
        <f>C6-_xlfn.FORECAST.ETS.CONFINT(A6,$B$2:$B$5,$A$2:$A$5,0.95,1,1)</f>
        <v>1.5540297448285505</v>
      </c>
      <c r="E6" s="98">
        <f>C6+_xlfn.FORECAST.ETS.CONFINT(A6,$B$2:$B$5,$A$2:$A$5,0.95,1,1)</f>
        <v>1.5944940205361557</v>
      </c>
    </row>
    <row r="7" spans="1:5" x14ac:dyDescent="0.2">
      <c r="A7">
        <v>2020</v>
      </c>
      <c r="C7">
        <f>_xlfn.FORECAST.ETS(A7,$B$2:$B$5,$A$2:$A$5,1,1)</f>
        <v>1.5768604351951312</v>
      </c>
      <c r="D7" s="98">
        <f>C7-_xlfn.FORECAST.ETS.CONFINT(A7,$B$2:$B$5,$A$2:$A$5,0.95,1,1)</f>
        <v>1.5560007085955521</v>
      </c>
      <c r="E7" s="98">
        <f>C7+_xlfn.FORECAST.ETS.CONFINT(A7,$B$2:$B$5,$A$2:$A$5,0.95,1,1)</f>
        <v>1.5977201617947103</v>
      </c>
    </row>
    <row r="8" spans="1:5" x14ac:dyDescent="0.2">
      <c r="A8">
        <v>2021</v>
      </c>
      <c r="C8">
        <f>_xlfn.FORECAST.ETS(A8,$B$2:$B$5,$A$2:$A$5,1,1)</f>
        <v>1.579458987707909</v>
      </c>
      <c r="D8" s="98">
        <f>C8-_xlfn.FORECAST.ETS.CONFINT(A8,$B$2:$B$5,$A$2:$A$5,0.95,1,1)</f>
        <v>1.5579852157243381</v>
      </c>
      <c r="E8" s="98">
        <f>C8+_xlfn.FORECAST.ETS.CONFINT(A8,$B$2:$B$5,$A$2:$A$5,0.95,1,1)</f>
        <v>1.60093275969148</v>
      </c>
    </row>
    <row r="9" spans="1:5" x14ac:dyDescent="0.2">
      <c r="A9">
        <v>2022</v>
      </c>
      <c r="C9">
        <f>_xlfn.FORECAST.ETS(A9,$B$2:$B$5,$A$2:$A$5,1,1)</f>
        <v>1.5820575402206869</v>
      </c>
      <c r="D9" s="98">
        <f>C9-_xlfn.FORECAST.ETS.CONFINT(A9,$B$2:$B$5,$A$2:$A$5,0.95,1,1)</f>
        <v>1.5599821174842212</v>
      </c>
      <c r="E9" s="98">
        <f>C9+_xlfn.FORECAST.ETS.CONFINT(A9,$B$2:$B$5,$A$2:$A$5,0.95,1,1)</f>
        <v>1.6041329629571526</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PL1</vt:lpstr>
      <vt:lpstr>PL1. TH (chung)</vt:lpstr>
      <vt:lpstr>PL.2 TH (chi tiet)</vt:lpstr>
      <vt:lpstr>Sheet phu-GTSX</vt:lpstr>
      <vt:lpstr>GTSX hh.GTSX cđ</vt:lpstr>
      <vt:lpstr>S gieo trong. Sdat</vt:lpstr>
      <vt:lpstr>'PL.2 TH (chi tiet)'!Print_Area</vt:lpstr>
      <vt:lpstr>'PL.2 TH (chi tiet)'!Print_Titles</vt:lpstr>
      <vt:lpstr>'PL1'!Print_Titles</vt:lpstr>
      <vt:lpstr>'PL1. TH (chung)'!Print_Titles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vnpt</dc:creator>
  <cp:lastModifiedBy>Admin</cp:lastModifiedBy>
  <cp:lastPrinted>2024-01-10T01:48:52Z</cp:lastPrinted>
  <dcterms:created xsi:type="dcterms:W3CDTF">2014-03-18T12:17:46Z</dcterms:created>
  <dcterms:modified xsi:type="dcterms:W3CDTF">2024-01-10T01:50:39Z</dcterms:modified>
</cp:coreProperties>
</file>